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33" firstSheet="10" activeTab="16"/>
  </bookViews>
  <sheets>
    <sheet name="Полярный пр-зд 5а" sheetId="1" r:id="rId1"/>
    <sheet name="Ленина 32-16" sheetId="2" r:id="rId2"/>
    <sheet name="Ленина 34" sheetId="3" r:id="rId3"/>
    <sheet name="Ленина 35-20" sheetId="4" r:id="rId4"/>
    <sheet name="Ленина 35а" sheetId="5" r:id="rId5"/>
    <sheet name="Ленина 36" sheetId="6" r:id="rId6"/>
    <sheet name="Ленина 38-7" sheetId="7" r:id="rId7"/>
    <sheet name="Ленина 39" sheetId="8" r:id="rId8"/>
    <sheet name="Ленина 45" sheetId="9" r:id="rId9"/>
    <sheet name="Ленина 47-12" sheetId="10" r:id="rId10"/>
    <sheet name="Корешкова 6" sheetId="11" r:id="rId11"/>
    <sheet name="Корешкова 8-50" sheetId="12" r:id="rId12"/>
    <sheet name="Первомайская 46а" sheetId="13" r:id="rId13"/>
    <sheet name="Первомайская 48" sheetId="14" r:id="rId14"/>
    <sheet name="Советская 12-1" sheetId="15" r:id="rId15"/>
    <sheet name="Советская 14" sheetId="16" r:id="rId16"/>
    <sheet name="пр-зд Чернышевского 18а" sheetId="17" r:id="rId17"/>
    <sheet name="Свод." sheetId="18" state="hidden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<sst xmlns="http://schemas.openxmlformats.org/spreadsheetml/2006/main" count="6231" uniqueCount="263">
  <si>
    <t>Форма 2.8. Отчет об исполнении управляющей организацией договора управления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</si>
  <si>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</si>
  <si>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</si>
  <si>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</si>
  <si>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</si>
  <si>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</si>
  <si>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</si>
  <si>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</si>
  <si>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04.03.2016г.</t>
  </si>
  <si>
    <t>2.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</si>
  <si>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</si>
  <si>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</si>
  <si>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</si>
  <si>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</si>
  <si>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</si>
  <si>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Переходящие остатки денежных средств (на начало периода):</t>
  </si>
  <si>
    <t>руб.</t>
  </si>
  <si>
    <t>5.</t>
  </si>
  <si>
    <t xml:space="preserve">     - переплата потребителями</t>
  </si>
  <si>
    <t>6.</t>
  </si>
  <si>
    <t xml:space="preserve">     - задолженность потребителей</t>
  </si>
  <si>
    <t>7.</t>
  </si>
  <si>
    <t>Начислено  за работы (услуги) по содержанию и текущему ремонту, в том числе:</t>
  </si>
  <si>
    <t>8.</t>
  </si>
  <si>
    <t xml:space="preserve">     -  за содержание дома</t>
  </si>
  <si>
    <t>9.</t>
  </si>
  <si>
    <t xml:space="preserve">     -   за текущий  ремонт</t>
  </si>
  <si>
    <t>10.</t>
  </si>
  <si>
    <t xml:space="preserve">     -   за услуги управления </t>
  </si>
  <si>
    <t>11.</t>
  </si>
  <si>
    <t xml:space="preserve">Получено денежных средств, в т. ч: </t>
  </si>
  <si>
    <t>12.</t>
  </si>
  <si>
    <t xml:space="preserve">     - денежных средств от потребителей</t>
  </si>
  <si>
    <t>13.</t>
  </si>
  <si>
    <t xml:space="preserve">     - целевых взносов от потребителей</t>
  </si>
  <si>
    <t>14.</t>
  </si>
  <si>
    <t xml:space="preserve">     -  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</si>
  <si>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</si>
  <si>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</si>
  <si>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</si>
  <si>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 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</si>
  <si>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</si>
  <si>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</si>
  <si>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</si>
  <si>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</si>
  <si>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</si>
  <si>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</si>
  <si>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</si>
  <si>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</si>
  <si>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Выполненные  работы (оказанные услуги) по содержанию общего имущества и текущему ремонту в отчетном периоде</t>
  </si>
  <si>
    <t>- по содержанию общего имущества:</t>
  </si>
  <si>
    <t>21.</t>
  </si>
  <si>
    <t>Наименование работы</t>
  </si>
  <si>
    <t>см.форму 2.3.</t>
  </si>
  <si>
    <t>22.</t>
  </si>
  <si>
    <t>Исполнитель работ</t>
  </si>
  <si>
    <t>23.</t>
  </si>
  <si>
    <t>Периодичность выполнения работы (услуги)</t>
  </si>
  <si>
    <t>- по текущему ремонту:</t>
  </si>
  <si>
    <t>21.1</t>
  </si>
  <si>
    <t>22.1</t>
  </si>
  <si>
    <t>23.1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</si>
  <si>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</si>
  <si>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</si>
  <si>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</si>
  <si>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</si>
  <si>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</si>
  <si>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</si>
  <si>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</si>
  <si>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</si>
  <si>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</si>
  <si>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</si>
  <si>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</si>
  <si>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</si>
  <si>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</si>
  <si>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</si>
  <si>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</si>
  <si>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</si>
  <si>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</si>
  <si>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</si>
  <si>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</si>
  <si>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</si>
  <si>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</t>
  </si>
  <si>
    <t>Вид коммунальной услуги</t>
  </si>
  <si>
    <t>Холодное водоснабжение</t>
  </si>
  <si>
    <t>35.</t>
  </si>
  <si>
    <t>Единица измерения</t>
  </si>
  <si>
    <t>куб.м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</si>
  <si>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</si>
  <si>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</si>
  <si>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</si>
  <si>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</si>
  <si>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</si>
  <si>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</si>
  <si>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</si>
  <si>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</si>
  <si>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</si>
  <si>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</si>
  <si>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</si>
  <si>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</si>
  <si>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</si>
  <si>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</si>
  <si>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</si>
  <si>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</si>
  <si>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</si>
  <si>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Горячее водоснабжение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</si>
  <si>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</si>
  <si>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</si>
  <si>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</si>
  <si>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</si>
  <si>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</si>
  <si>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</si>
  <si>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</si>
  <si>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</si>
  <si>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43.1</t>
  </si>
  <si>
    <t>34.2</t>
  </si>
  <si>
    <t>Водоотведение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</si>
  <si>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</si>
  <si>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</si>
  <si>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</si>
  <si>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</si>
  <si>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</si>
  <si>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</si>
  <si>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</si>
  <si>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</si>
  <si>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43.2</t>
  </si>
  <si>
    <t>34.3</t>
  </si>
  <si>
    <t>Отопление</t>
  </si>
  <si>
    <t>35.3</t>
  </si>
  <si>
    <t>Гкал</t>
  </si>
  <si>
    <t>36.3</t>
  </si>
  <si>
    <t>37.3</t>
  </si>
  <si>
    <t>38.3</t>
  </si>
  <si>
    <t>39.3</t>
  </si>
  <si>
    <t>40.3</t>
  </si>
  <si>
    <t>41.3</t>
  </si>
  <si>
    <t>42.3</t>
  </si>
  <si>
    <t>43.3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</si>
  <si>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</si>
  <si>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</si>
  <si>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</si>
  <si>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</si>
  <si>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</si>
  <si>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</si>
  <si>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</si>
  <si>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</si>
  <si>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</si>
  <si>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</si>
  <si>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</si>
  <si>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</si>
  <si>
    <t>таб. 2</t>
  </si>
  <si>
    <t>Для домов в управлении</t>
  </si>
  <si>
    <t xml:space="preserve">Виды услуг (работ) </t>
  </si>
  <si>
    <t>Затраты за отчётный период, руб. (с уч. НДС)</t>
  </si>
  <si>
    <t>Содержание и ремонт общего имущества МКД</t>
  </si>
  <si>
    <t xml:space="preserve">Содержание придомовой территории </t>
  </si>
  <si>
    <t xml:space="preserve">Санитарное содержание мест общего пользования </t>
  </si>
  <si>
    <t>Освещение мест общего пользования</t>
  </si>
  <si>
    <t>Содержание мусоропроводов</t>
  </si>
  <si>
    <t>Содержание лифтов</t>
  </si>
  <si>
    <t xml:space="preserve">          услуги сторонних организаций :</t>
  </si>
  <si>
    <t xml:space="preserve">                                                              Подъём-1</t>
  </si>
  <si>
    <t xml:space="preserve">                                                              Колис</t>
  </si>
  <si>
    <t xml:space="preserve">          электроснабжение</t>
  </si>
  <si>
    <t>Работы, выполняемые для надлежащего содержания несущих конструкций, оборудования и систем инженерно-технического обеспечения, входящих в состав общего имущества МКД. Аварийно-диспетчерское обслуживание МКД.</t>
  </si>
  <si>
    <t xml:space="preserve">         оплата труда (сл.сантехн, эл.монтёр, эл.газосварщ, плотник, маляр(штукатур),кровельщик, деж.слесаря, деж.эл.монтёры, работники трансп.участка)</t>
  </si>
  <si>
    <t xml:space="preserve">                  страховые взносы</t>
  </si>
  <si>
    <t xml:space="preserve">                  материалы </t>
  </si>
  <si>
    <t xml:space="preserve">                  прочие (подрядчики)</t>
  </si>
  <si>
    <t xml:space="preserve">                  прочие (содержание транспорта)</t>
  </si>
  <si>
    <t xml:space="preserve">                  текущий ремонт</t>
  </si>
  <si>
    <t xml:space="preserve">                  прочие прасходы, в т.ч.</t>
  </si>
  <si>
    <t xml:space="preserve">                                              налоги</t>
  </si>
  <si>
    <t xml:space="preserve">                                              охрана труда</t>
  </si>
  <si>
    <t xml:space="preserve">                                              прочие</t>
  </si>
  <si>
    <t xml:space="preserve">                                              амортизация</t>
  </si>
  <si>
    <t xml:space="preserve">                                              кап.ремонт служебн. помещений</t>
  </si>
  <si>
    <t>Техническое обслуживание ВДГО</t>
  </si>
  <si>
    <t>Очистка вентканалов и дымоходов</t>
  </si>
  <si>
    <t>Сбор, вывоз и захоронение ТБО</t>
  </si>
  <si>
    <t>Дератизация , дезинсекция помещения входящ. в сост. общ. имущ.</t>
  </si>
  <si>
    <t>Расходы на управление, в т.ч.</t>
  </si>
  <si>
    <t>11.1</t>
  </si>
  <si>
    <t>ведение расчётов за ЖКУ, доставка платёжн. докум. и приём платежей</t>
  </si>
  <si>
    <t>Работы по содержанию зон отдыха, зеленых насаждений на земельном участке, на котором расположен МКД.</t>
  </si>
  <si>
    <t xml:space="preserve">          прочие (страховка)</t>
  </si>
  <si>
    <t>П Ремонт козырьков над подъездами</t>
  </si>
  <si>
    <t>П Ремонт мягкой кровли</t>
  </si>
  <si>
    <t>Сводная</t>
  </si>
  <si>
    <t>Полярный пр.5а</t>
  </si>
  <si>
    <t>Ленина 32-16</t>
  </si>
  <si>
    <t>Ленина 34</t>
  </si>
  <si>
    <t>Ленина 32-20</t>
  </si>
  <si>
    <t>Ленина 35а</t>
  </si>
  <si>
    <t>Ленина 36</t>
  </si>
  <si>
    <t>Ленина 38-7</t>
  </si>
  <si>
    <t>Ленина 39</t>
  </si>
  <si>
    <t>Ленина 45</t>
  </si>
  <si>
    <t>Ленина 47-12</t>
  </si>
  <si>
    <t>Корешкова 6</t>
  </si>
  <si>
    <t>Корешкова 8-50</t>
  </si>
  <si>
    <t>Первомайская 46а</t>
  </si>
  <si>
    <t>Первомайская 48</t>
  </si>
  <si>
    <t>Советская 12-1</t>
  </si>
  <si>
    <t>Советская 14</t>
  </si>
  <si>
    <t>пр. Чернышевского 18а</t>
  </si>
  <si>
    <t>Итого по ЖЭУ №11</t>
  </si>
  <si>
    <t>МУП "ПТП ГХ" промывка системы отопления</t>
  </si>
  <si>
    <t>Флекс Установка и обсл.приб-в для передачи данных по ком.усл.</t>
  </si>
  <si>
    <t>Замена труб и запорной арматуры</t>
  </si>
  <si>
    <t>Подсыпка щебнем</t>
  </si>
  <si>
    <t>Замена задвижек, замена задвижек на шар.краны</t>
  </si>
  <si>
    <t>Замена водопроводного стояка, труб и запорной арматуры</t>
  </si>
  <si>
    <t>Замена дверного блока</t>
  </si>
  <si>
    <t>Ремонт ВРУ и эл.проводки</t>
  </si>
  <si>
    <t>Ремонт детских площадок</t>
  </si>
  <si>
    <t>Ремонт электр.освещения</t>
  </si>
  <si>
    <t>Замена водопроводного стояка</t>
  </si>
  <si>
    <t>Ремонт ВРУ и эл. Проводки</t>
  </si>
  <si>
    <t>Ремонт лестн.клеток и тамбура ,замена почт. Ящиков</t>
  </si>
  <si>
    <t>ремонт цоколя и фасада</t>
  </si>
  <si>
    <t>Установка метпл.двери</t>
  </si>
  <si>
    <t>Ремонт арки</t>
  </si>
  <si>
    <t>Замена задвижек и замена задвижек на шар.краны</t>
  </si>
  <si>
    <t>Ремонт кровли</t>
  </si>
  <si>
    <t>Заделка оконного проема</t>
  </si>
  <si>
    <t>Замена входной двери</t>
  </si>
  <si>
    <t>Ремонт лестн.клеток и тамбуров,замена почт.ящиков</t>
  </si>
  <si>
    <t>Замена электр.стояков и электр.лежаков</t>
  </si>
  <si>
    <t>Ремонт ВРУ и элекрт.проводки</t>
  </si>
  <si>
    <t>Ремонт лестн.клеток и тамбуров,замена почт.ящиков,замена труб и запорной арматуры</t>
  </si>
  <si>
    <t>при проведении текущего ремонта</t>
  </si>
  <si>
    <t>Публичное акционерное общество "Северное"(ПАО"Северное",ИНН 5053040768</t>
  </si>
  <si>
    <t>Замена труб и запорной арматуры,ремонт ВРУ и эл.проводки</t>
  </si>
  <si>
    <t>Ремонт детских площадокРемонт детских площадокЗамена водопроводного стояка, труб и запорной арматуры</t>
  </si>
  <si>
    <t xml:space="preserve"> Ремонт козырьков над подъездами,ремонт детских площадок,ремонт электр.освещения</t>
  </si>
  <si>
    <t>Ремонт козырьков над подъездами ,ремонт электр.освещения, замена водопроводного стояка, ремонт ВРУ и эл. проводки</t>
  </si>
  <si>
    <t>Ремонт лестн.клеток и тамбура ,замена почт. ящиков, замена труб и запорной арматуры, ремонт лестн.клеток и тамбура ,замена почт. ящиков</t>
  </si>
  <si>
    <t>Ремонт лестн.клеток и тамбура ,замена почт. Ящиков,ремонт цоколя и фасада,замена водопроводного стояка</t>
  </si>
  <si>
    <t>Ремонт лестн.клеток и тамбура ,замена почт. Ящиков, ремонт цоколя и фасада</t>
  </si>
  <si>
    <t xml:space="preserve">Ремонт козырьков над подъездами,ремонт лестн.клеток и тамбура ,замена почт. ящиков,ремонт арки,замена водопроводного стояка,ремонт ВРУ и </t>
  </si>
  <si>
    <t>И.П.Концедалова ИНН 505303848201            Публичное акционерное общество "Северное"(ПАО"Северное",ИНН 5053040768</t>
  </si>
  <si>
    <t>Замена задвижек, замена задвижек на шар.краны,замена водопроводного стояка, труб и запорной арматуры</t>
  </si>
  <si>
    <t>Ремонт шиферной кровли,замена труб и запорной арматуры,подсыпка щебнем</t>
  </si>
  <si>
    <t>Замена задвижек и замена задвижек на шар.краны,ремонт кровли</t>
  </si>
  <si>
    <t xml:space="preserve">     Публичное акционерное общество "Северное"(ПАО"Северное",ИНН 5053040768</t>
  </si>
  <si>
    <t>Заделка оконного проема,замена входной двери, замена труб и запорной арматуры</t>
  </si>
  <si>
    <t>Замена труб и запорной арматуры,замена электр.стояков и электр.лежаков,ремонт ВРУ и элекрт.проводки</t>
  </si>
  <si>
    <t>ЖЭУ № 1</t>
  </si>
  <si>
    <t>ЖЭУ № 2</t>
  </si>
  <si>
    <t>ЖЭУ № 5</t>
  </si>
  <si>
    <t>ЖЭУ № 6</t>
  </si>
  <si>
    <t>ЖЭУ № 8</t>
  </si>
  <si>
    <t>ЖЭУ № 9</t>
  </si>
  <si>
    <t>ЖЭУ № 11</t>
  </si>
  <si>
    <t>ВСЕГО</t>
  </si>
  <si>
    <t>Сводная по ПАО "Сеерное"</t>
  </si>
  <si>
    <t>Публичное акционерное общество "Северное"(ПАО"Северное", ИНН 5053040768</t>
  </si>
  <si>
    <t>Публичное акционерное общество "Северное" (ПАО"Северное", ИНН 5053040768</t>
  </si>
  <si>
    <t>Публичное акционерное общество "Северное" (ПАО"Северное",                    ИНН 5053040768</t>
  </si>
  <si>
    <t>И.П.Концедалова                       ИНН 505303848201,              Публичное акционерное общество "Северное" (ПАО"Северное", ИНН 5053040768</t>
  </si>
  <si>
    <t>И.П.Концедалова ИНН 505303848201,              Публичное акционерное общество "Северное"(ПАО"Северное", ИНН 5053040768</t>
  </si>
  <si>
    <t>И.П.Концедалова ИНН 505303848201            Публичное акционерное общество "Северное"(ПАО"Северное", ИНН 5053040768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</si>
</sst>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[$-FC19]d\ mmmm\ yyyy\ &quot;г.&quot;"/>
    <numFmt numFmtId="17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32" borderId="1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left" vertical="top" wrapText="1"/>
    </xf>
    <xf numFmtId="4" fontId="3" fillId="32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49" fontId="6" fillId="33" borderId="0" xfId="0" applyNumberFormat="1" applyFont="1" applyFill="1" applyAlignment="1">
      <alignment horizontal="left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32" borderId="10" xfId="0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  <xf numFmtId="4" fontId="3" fillId="32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left"/>
    </xf>
    <xf numFmtId="0" fontId="3" fillId="32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32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vertical="top" wrapText="1"/>
    </xf>
    <xf numFmtId="2" fontId="3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right" wrapText="1"/>
    </xf>
    <xf numFmtId="0" fontId="3" fillId="32" borderId="12" xfId="0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49" fontId="8" fillId="32" borderId="10" xfId="0" applyNumberFormat="1" applyFont="1" applyFill="1" applyBorder="1" applyAlignment="1">
      <alignment/>
    </xf>
    <xf numFmtId="0" fontId="12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11" fillId="0" borderId="13" xfId="0" applyFont="1" applyBorder="1" applyAlignment="1">
      <alignment horizontal="right" wrapText="1"/>
    </xf>
    <xf numFmtId="0" fontId="1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/>
    </xf>
    <xf numFmtId="0" fontId="0" fillId="34" borderId="0" xfId="0" applyFill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/>
    </xf>
    <xf numFmtId="0" fontId="0" fillId="35" borderId="0" xfId="0" applyFill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 vertical="top" wrapText="1"/>
    </xf>
    <xf numFmtId="0" fontId="3" fillId="32" borderId="13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" fontId="0" fillId="0" borderId="10" xfId="0" applyNumberFormat="1" applyBorder="1" applyAlignment="1">
      <alignment/>
    </xf>
    <xf numFmtId="0" fontId="15" fillId="34" borderId="0" xfId="0" applyFont="1" applyFill="1" applyAlignment="1">
      <alignment horizontal="center"/>
    </xf>
    <xf numFmtId="4" fontId="0" fillId="0" borderId="10" xfId="0" applyNumberFormat="1" applyBorder="1" applyAlignment="1">
      <alignment horizontal="right"/>
    </xf>
    <xf numFmtId="14" fontId="3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2" fontId="3" fillId="0" borderId="13" xfId="0" applyNumberFormat="1" applyFont="1" applyBorder="1" applyAlignment="1">
      <alignment/>
    </xf>
    <xf numFmtId="4" fontId="3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4" fontId="2" fillId="0" borderId="14" xfId="0" applyNumberFormat="1" applyFont="1" applyBorder="1" applyAlignment="1">
      <alignment vertical="top" wrapText="1"/>
    </xf>
    <xf numFmtId="4" fontId="0" fillId="0" borderId="0" xfId="0" applyNumberFormat="1" applyAlignment="1">
      <alignment/>
    </xf>
    <xf numFmtId="4" fontId="0" fillId="34" borderId="0" xfId="0" applyNumberFormat="1" applyFill="1" applyAlignment="1">
      <alignment/>
    </xf>
    <xf numFmtId="4" fontId="15" fillId="36" borderId="10" xfId="0" applyNumberFormat="1" applyFont="1" applyFill="1" applyBorder="1" applyAlignment="1">
      <alignment horizontal="center"/>
    </xf>
    <xf numFmtId="4" fontId="15" fillId="34" borderId="10" xfId="0" applyNumberFormat="1" applyFont="1" applyFill="1" applyBorder="1" applyAlignment="1">
      <alignment horizontal="center"/>
    </xf>
    <xf numFmtId="4" fontId="15" fillId="0" borderId="0" xfId="0" applyNumberFormat="1" applyFont="1" applyAlignment="1">
      <alignment horizontal="center"/>
    </xf>
    <xf numFmtId="0" fontId="15" fillId="35" borderId="0" xfId="0" applyFont="1" applyFill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6;&#1069;&#1059;%20&#8470;1%20(2.8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6;&#1069;&#1059;%20&#8470;2%20(2.8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6;&#1069;&#1059;%20&#8470;5%20(2.8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6;&#1069;&#1059;%20&#8470;6%20(2.8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46;&#1069;&#1059;%20&#8470;8%20(2.8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46;&#1069;&#1059;%20&#8470;9%20(2.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л.Коллективная д.16"/>
      <sheetName val="ул. Коллективная 20"/>
      <sheetName val="ул. Коллективная 22"/>
      <sheetName val="ул. Коллективная 24"/>
      <sheetName val="ул. Коллективная 24а"/>
      <sheetName val="ул.Коллективная 26"/>
      <sheetName val="ул. Коллективная 26а"/>
      <sheetName val="ул. Коллективная 28"/>
      <sheetName val="ул. Коллективная 30"/>
      <sheetName val="Ногинское ш. 3"/>
      <sheetName val="Ногинское ш. 3а"/>
      <sheetName val="Ногинское ш. 5"/>
      <sheetName val="Ногинское ш. 7"/>
      <sheetName val="Ногинское ш. 7а"/>
      <sheetName val="Ногинское ш. 13"/>
      <sheetName val="Ногинское ш. 15"/>
      <sheetName val="Ногинское ш. 17"/>
      <sheetName val="Ногинское ш. 19"/>
      <sheetName val="Ногинское ш. 21а"/>
      <sheetName val="ул. Социалистическая 16"/>
      <sheetName val="ул. Социалистическая 16а"/>
      <sheetName val="ул. Социалистическая 18"/>
      <sheetName val="ул. Социалистическая 18а"/>
      <sheetName val="ул. Социалистическая 18б"/>
      <sheetName val="ул. Социалистическая 19"/>
      <sheetName val="ул. Социалистическая 19а"/>
      <sheetName val="ул. Социалистическая 20"/>
      <sheetName val="ул. Социалистическая 21а"/>
      <sheetName val="ул. Социалистическая 22-11"/>
      <sheetName val="ул. Социалистическая 23а"/>
      <sheetName val="ул. Сталеваров 1-18"/>
      <sheetName val="ул. Сталеваров 2"/>
      <sheetName val="ул. Сталеваров 3"/>
      <sheetName val="ул. Сталеваров 4"/>
      <sheetName val="ул. Сталеваров 4а"/>
      <sheetName val="ул. Сталеваров 4б"/>
      <sheetName val="ул. Сталеваров 4в"/>
      <sheetName val="ул. Сталеваров 5"/>
      <sheetName val="ул. Сталеваров 5а"/>
      <sheetName val="ул. Сталеваров 6б"/>
      <sheetName val="ул. Сталеваров 7"/>
      <sheetName val="ул. Сталеваров 7а"/>
      <sheetName val="ул. Сталеваров 8"/>
      <sheetName val="ул. Сталеваров 8а"/>
      <sheetName val="ул. Сталеваров 9"/>
      <sheetName val="ул. Сталеваров 11"/>
      <sheetName val="ул. Сталеваров 13"/>
      <sheetName val="ул. Сталеваров 15-17"/>
      <sheetName val="ул. Сталеваров 17"/>
      <sheetName val="Свод."/>
    </sheetNames>
    <sheetDataSet>
      <sheetData sheetId="49">
        <row r="3">
          <cell r="BA3">
            <v>2510440.9899999998</v>
          </cell>
        </row>
        <row r="4">
          <cell r="BA4">
            <v>0</v>
          </cell>
        </row>
        <row r="5">
          <cell r="BA5">
            <v>2510440.9899999998</v>
          </cell>
        </row>
        <row r="6">
          <cell r="BA6">
            <v>11944347.170000004</v>
          </cell>
        </row>
        <row r="7">
          <cell r="BA7">
            <v>0</v>
          </cell>
        </row>
        <row r="8">
          <cell r="BA8">
            <v>0</v>
          </cell>
        </row>
        <row r="9">
          <cell r="BA9">
            <v>0</v>
          </cell>
        </row>
        <row r="10">
          <cell r="BA10">
            <v>11156379.529999997</v>
          </cell>
        </row>
        <row r="11">
          <cell r="BA11">
            <v>11156379.529999997</v>
          </cell>
        </row>
        <row r="12">
          <cell r="BA12">
            <v>0</v>
          </cell>
        </row>
        <row r="13">
          <cell r="BA13">
            <v>0</v>
          </cell>
        </row>
        <row r="14">
          <cell r="BA14">
            <v>0</v>
          </cell>
        </row>
        <row r="15">
          <cell r="BA15">
            <v>0</v>
          </cell>
        </row>
        <row r="16">
          <cell r="BA16">
            <v>11156379.529999997</v>
          </cell>
        </row>
        <row r="17">
          <cell r="BA17">
            <v>3298408.63</v>
          </cell>
        </row>
        <row r="18">
          <cell r="BA18">
            <v>0</v>
          </cell>
        </row>
        <row r="19">
          <cell r="BA19">
            <v>3298408.63</v>
          </cell>
        </row>
        <row r="22">
          <cell r="BA22" t="str">
            <v>см.форму 2.3.</v>
          </cell>
        </row>
        <row r="23">
          <cell r="BA23" t="str">
            <v>см.форму 2.3.</v>
          </cell>
        </row>
        <row r="24">
          <cell r="BA24" t="str">
            <v>см.форму 2.3.</v>
          </cell>
        </row>
        <row r="35">
          <cell r="BA35">
            <v>1161934.86</v>
          </cell>
        </row>
        <row r="36">
          <cell r="BA36">
            <v>16266.57</v>
          </cell>
        </row>
        <row r="37">
          <cell r="BA37">
            <v>1178201.43</v>
          </cell>
        </row>
        <row r="38">
          <cell r="BA38">
            <v>1658551.8500000006</v>
          </cell>
        </row>
        <row r="39">
          <cell r="BA39">
            <v>223486.91</v>
          </cell>
        </row>
        <row r="40">
          <cell r="BA40">
            <v>1882038.76</v>
          </cell>
        </row>
        <row r="42">
          <cell r="BA42" t="str">
            <v>Холодное водоснабжение</v>
          </cell>
        </row>
        <row r="43">
          <cell r="BA43" t="str">
            <v>куб.м</v>
          </cell>
        </row>
        <row r="44">
          <cell r="BA44">
            <v>71640.65324244907</v>
          </cell>
        </row>
        <row r="45">
          <cell r="BA45">
            <v>1966546.3399999999</v>
          </cell>
        </row>
        <row r="46">
          <cell r="BA46">
            <v>1849575.63</v>
          </cell>
        </row>
        <row r="47">
          <cell r="BA47">
            <v>369730.55000000005</v>
          </cell>
        </row>
        <row r="48">
          <cell r="BA48">
            <v>1992716.8099999996</v>
          </cell>
        </row>
        <row r="49">
          <cell r="BA49">
            <v>2303223.0300000007</v>
          </cell>
        </row>
        <row r="50">
          <cell r="BA50">
            <v>12835.669999999998</v>
          </cell>
        </row>
        <row r="51">
          <cell r="BA51">
            <v>0</v>
          </cell>
        </row>
        <row r="52">
          <cell r="BA52" t="str">
            <v>Горячее водоснабжение</v>
          </cell>
        </row>
        <row r="53">
          <cell r="BA53" t="str">
            <v>куб.м</v>
          </cell>
        </row>
        <row r="54">
          <cell r="BA54">
            <v>7284.701069168666</v>
          </cell>
        </row>
        <row r="55">
          <cell r="BA55">
            <v>1001573.55</v>
          </cell>
        </row>
        <row r="56">
          <cell r="BA56">
            <v>1052028.1199999999</v>
          </cell>
        </row>
        <row r="57">
          <cell r="BA57">
            <v>-50454.57000000001</v>
          </cell>
        </row>
        <row r="58">
          <cell r="BA58">
            <v>937433.16</v>
          </cell>
        </row>
        <row r="59">
          <cell r="BA59">
            <v>1075514.03</v>
          </cell>
        </row>
        <row r="60">
          <cell r="BA60">
            <v>191241.33000000002</v>
          </cell>
        </row>
        <row r="61">
          <cell r="BA61">
            <v>0</v>
          </cell>
        </row>
        <row r="62">
          <cell r="BA62" t="str">
            <v>Водоотведение</v>
          </cell>
        </row>
        <row r="63">
          <cell r="BA63" t="str">
            <v>куб.м</v>
          </cell>
        </row>
        <row r="64">
          <cell r="BA64">
            <v>78925.35431161773</v>
          </cell>
        </row>
        <row r="65">
          <cell r="BA65">
            <v>1184729.55</v>
          </cell>
        </row>
        <row r="66">
          <cell r="BA66">
            <v>1126862.55</v>
          </cell>
        </row>
        <row r="67">
          <cell r="BA67">
            <v>194935.3500000001</v>
          </cell>
        </row>
        <row r="68">
          <cell r="BA68">
            <v>1184729.6300000001</v>
          </cell>
        </row>
        <row r="69">
          <cell r="BA69">
            <v>1458256.71</v>
          </cell>
        </row>
        <row r="70">
          <cell r="BA70">
            <v>22697.239999999994</v>
          </cell>
        </row>
        <row r="71">
          <cell r="BA71">
            <v>0</v>
          </cell>
        </row>
        <row r="72">
          <cell r="BA72" t="str">
            <v>Отопление</v>
          </cell>
        </row>
        <row r="73">
          <cell r="BA73" t="str">
            <v>Гкал</v>
          </cell>
        </row>
        <row r="74">
          <cell r="BA74">
            <v>3894.045754156299</v>
          </cell>
        </row>
        <row r="75">
          <cell r="BA75">
            <v>6617841.489999998</v>
          </cell>
        </row>
        <row r="76">
          <cell r="BA76">
            <v>6245635.588999998</v>
          </cell>
        </row>
        <row r="77">
          <cell r="BA77">
            <v>1144340.5100000002</v>
          </cell>
        </row>
        <row r="78">
          <cell r="BA78">
            <v>6949500.7299999995</v>
          </cell>
        </row>
        <row r="79">
          <cell r="BA79">
            <v>6825952.419999999</v>
          </cell>
        </row>
        <row r="80">
          <cell r="BA80">
            <v>657952.6799999999</v>
          </cell>
        </row>
        <row r="81">
          <cell r="BA81">
            <v>0</v>
          </cell>
        </row>
        <row r="82">
          <cell r="BA82">
            <v>0</v>
          </cell>
        </row>
        <row r="83">
          <cell r="BA83">
            <v>0</v>
          </cell>
        </row>
        <row r="84">
          <cell r="BA84">
            <v>0</v>
          </cell>
        </row>
        <row r="85">
          <cell r="BA85">
            <v>0</v>
          </cell>
        </row>
        <row r="86">
          <cell r="BA86">
            <v>0</v>
          </cell>
        </row>
        <row r="87">
          <cell r="BA87">
            <v>0</v>
          </cell>
        </row>
        <row r="88">
          <cell r="BA88">
            <v>146</v>
          </cell>
        </row>
        <row r="89">
          <cell r="BA89">
            <v>7</v>
          </cell>
        </row>
        <row r="90">
          <cell r="BA90">
            <v>530930</v>
          </cell>
        </row>
        <row r="99">
          <cell r="BE99">
            <v>15578693.974699998</v>
          </cell>
        </row>
        <row r="100">
          <cell r="BE100">
            <v>1559832</v>
          </cell>
        </row>
        <row r="101">
          <cell r="BE101">
            <v>831667</v>
          </cell>
        </row>
        <row r="102">
          <cell r="BE102">
            <v>367921.8900000001</v>
          </cell>
        </row>
        <row r="103">
          <cell r="BE103">
            <v>0</v>
          </cell>
        </row>
        <row r="104">
          <cell r="BE104">
            <v>0</v>
          </cell>
        </row>
        <row r="105">
          <cell r="BE105">
            <v>0</v>
          </cell>
        </row>
        <row r="106">
          <cell r="BE106">
            <v>0</v>
          </cell>
        </row>
        <row r="107">
          <cell r="BE107">
            <v>0</v>
          </cell>
        </row>
        <row r="108">
          <cell r="BE108">
            <v>0</v>
          </cell>
        </row>
        <row r="109">
          <cell r="BE109">
            <v>0</v>
          </cell>
        </row>
        <row r="110">
          <cell r="BE110">
            <v>7004540.250000001</v>
          </cell>
        </row>
        <row r="111">
          <cell r="BE111">
            <v>3430161</v>
          </cell>
        </row>
        <row r="112">
          <cell r="BE112">
            <v>1059918</v>
          </cell>
        </row>
        <row r="113">
          <cell r="BE113">
            <v>257269.97000000006</v>
          </cell>
        </row>
        <row r="114">
          <cell r="BE114">
            <v>24865</v>
          </cell>
        </row>
        <row r="115">
          <cell r="BE115">
            <v>14772</v>
          </cell>
        </row>
        <row r="116">
          <cell r="BE116">
            <v>10093</v>
          </cell>
        </row>
        <row r="117">
          <cell r="BE117">
            <v>0</v>
          </cell>
        </row>
        <row r="118">
          <cell r="BE118">
            <v>0</v>
          </cell>
        </row>
        <row r="119">
          <cell r="BE119">
            <v>0</v>
          </cell>
        </row>
        <row r="120">
          <cell r="BE120">
            <v>0</v>
          </cell>
        </row>
        <row r="121">
          <cell r="BE121">
            <v>315700</v>
          </cell>
        </row>
        <row r="122">
          <cell r="BE122">
            <v>1600677.28</v>
          </cell>
        </row>
        <row r="123">
          <cell r="BE123">
            <v>670248.01</v>
          </cell>
        </row>
        <row r="124">
          <cell r="BE124">
            <v>478113.66000000003</v>
          </cell>
        </row>
        <row r="125">
          <cell r="BE125">
            <v>341520.28</v>
          </cell>
        </row>
        <row r="126">
          <cell r="BE126">
            <v>107948.4</v>
          </cell>
        </row>
        <row r="127">
          <cell r="BE127">
            <v>2846.93</v>
          </cell>
        </row>
        <row r="128">
          <cell r="BE128">
            <v>0</v>
          </cell>
        </row>
        <row r="129">
          <cell r="BE129">
            <v>0</v>
          </cell>
        </row>
        <row r="130">
          <cell r="BE130">
            <v>0</v>
          </cell>
        </row>
        <row r="131">
          <cell r="BE131">
            <v>0</v>
          </cell>
        </row>
        <row r="132">
          <cell r="BE132">
            <v>0</v>
          </cell>
        </row>
        <row r="133">
          <cell r="BE133">
            <v>315949</v>
          </cell>
        </row>
        <row r="134">
          <cell r="BE134">
            <v>22763</v>
          </cell>
        </row>
        <row r="135">
          <cell r="BE135">
            <v>68617</v>
          </cell>
        </row>
        <row r="136">
          <cell r="BE136">
            <v>38113</v>
          </cell>
        </row>
        <row r="137">
          <cell r="BE137">
            <v>148349</v>
          </cell>
        </row>
        <row r="138">
          <cell r="BE138">
            <v>38107</v>
          </cell>
        </row>
        <row r="139">
          <cell r="BE139">
            <v>186147.77</v>
          </cell>
        </row>
        <row r="140">
          <cell r="BE140">
            <v>290099.81999999995</v>
          </cell>
        </row>
        <row r="141">
          <cell r="BE141">
            <v>1996004</v>
          </cell>
        </row>
        <row r="142">
          <cell r="BE142">
            <v>6073.57</v>
          </cell>
        </row>
        <row r="143">
          <cell r="BE143">
            <v>3247583.6747</v>
          </cell>
        </row>
        <row r="144">
          <cell r="BE144">
            <v>1096819.6747</v>
          </cell>
        </row>
        <row r="145">
          <cell r="BE145">
            <v>88824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енина 01"/>
      <sheetName val="Ленина 02"/>
      <sheetName val="Ленина 02 корп.2"/>
      <sheetName val="Ленина 02 корп.3"/>
      <sheetName val="Ленина 03"/>
      <sheetName val="Ленина 07"/>
      <sheetName val="Ленина 3 корп.2"/>
      <sheetName val="Ленина 5"/>
      <sheetName val="Ленина 9"/>
      <sheetName val="Ленина 9а"/>
      <sheetName val="Ленина 15"/>
      <sheetName val="Ленина 19"/>
      <sheetName val="Ленина 19а"/>
      <sheetName val="Первомайская 2"/>
      <sheetName val="Первомайская 2а"/>
      <sheetName val="Первомайская 04"/>
      <sheetName val="Первомайская 04а"/>
      <sheetName val="Первомайская 04б"/>
      <sheetName val="Первомайская 06в"/>
      <sheetName val="Первомайская 08б"/>
      <sheetName val="Первомайская 14"/>
      <sheetName val="Первомайская 20"/>
      <sheetName val="Второва 2"/>
      <sheetName val="Второва 4"/>
      <sheetName val="Второва 6"/>
      <sheetName val="Второва 8"/>
      <sheetName val="Второва 8 корп.1"/>
      <sheetName val="Жулябина 8"/>
      <sheetName val="Свод."/>
    </sheetNames>
    <sheetDataSet>
      <sheetData sheetId="28">
        <row r="3">
          <cell r="AF3">
            <v>5833393.8999999985</v>
          </cell>
        </row>
        <row r="4">
          <cell r="AF4">
            <v>124238.16</v>
          </cell>
        </row>
        <row r="5">
          <cell r="AF5">
            <v>5957632.059999999</v>
          </cell>
        </row>
        <row r="6">
          <cell r="AF6">
            <v>61217777.20999999</v>
          </cell>
        </row>
        <row r="7">
          <cell r="AF7">
            <v>0</v>
          </cell>
        </row>
        <row r="8">
          <cell r="AF8">
            <v>0</v>
          </cell>
        </row>
        <row r="9">
          <cell r="AF9">
            <v>0</v>
          </cell>
        </row>
        <row r="10">
          <cell r="AF10">
            <v>59985920.999999985</v>
          </cell>
        </row>
        <row r="11">
          <cell r="AF11">
            <v>59985920.999999985</v>
          </cell>
        </row>
        <row r="12">
          <cell r="AF12">
            <v>0</v>
          </cell>
        </row>
        <row r="13">
          <cell r="AF13">
            <v>0</v>
          </cell>
        </row>
        <row r="14">
          <cell r="AF14">
            <v>0</v>
          </cell>
        </row>
        <row r="15">
          <cell r="AF15">
            <v>0</v>
          </cell>
        </row>
        <row r="16">
          <cell r="AF16">
            <v>59985920.999999985</v>
          </cell>
        </row>
        <row r="17">
          <cell r="AF17">
            <v>7065250.1099999985</v>
          </cell>
        </row>
        <row r="18">
          <cell r="AF18">
            <v>0</v>
          </cell>
        </row>
        <row r="19">
          <cell r="AF19">
            <v>6808922.659999999</v>
          </cell>
        </row>
        <row r="20">
          <cell r="AF20">
            <v>0</v>
          </cell>
        </row>
        <row r="21">
          <cell r="AF21">
            <v>0</v>
          </cell>
        </row>
        <row r="22">
          <cell r="AF22">
            <v>0</v>
          </cell>
        </row>
        <row r="23">
          <cell r="AF23">
            <v>0</v>
          </cell>
        </row>
        <row r="24">
          <cell r="AF24">
            <v>0</v>
          </cell>
        </row>
        <row r="25">
          <cell r="AF25">
            <v>0</v>
          </cell>
        </row>
        <row r="26">
          <cell r="AF26">
            <v>0</v>
          </cell>
        </row>
        <row r="27">
          <cell r="AF27">
            <v>0</v>
          </cell>
        </row>
        <row r="28">
          <cell r="AF28">
            <v>0</v>
          </cell>
        </row>
        <row r="29">
          <cell r="AF29">
            <v>0</v>
          </cell>
        </row>
        <row r="30">
          <cell r="AF30">
            <v>0</v>
          </cell>
        </row>
        <row r="31">
          <cell r="AF31">
            <v>0</v>
          </cell>
        </row>
        <row r="32">
          <cell r="AF32">
            <v>0</v>
          </cell>
        </row>
        <row r="33">
          <cell r="AF33">
            <v>0</v>
          </cell>
        </row>
        <row r="34">
          <cell r="AF34">
            <v>0</v>
          </cell>
        </row>
        <row r="35">
          <cell r="AF35">
            <v>2485230.59</v>
          </cell>
        </row>
        <row r="36">
          <cell r="AF36">
            <v>0</v>
          </cell>
        </row>
        <row r="37">
          <cell r="AF37">
            <v>2421670.3600000003</v>
          </cell>
        </row>
        <row r="38">
          <cell r="AF38">
            <v>2750302.96</v>
          </cell>
        </row>
        <row r="39">
          <cell r="AF39">
            <v>2363395.5900000003</v>
          </cell>
        </row>
        <row r="40">
          <cell r="AF40">
            <v>5113698.552999999</v>
          </cell>
        </row>
        <row r="41">
          <cell r="AF41">
            <v>0</v>
          </cell>
        </row>
        <row r="42">
          <cell r="AF42" t="str">
            <v>Холодное водоснабжение</v>
          </cell>
        </row>
        <row r="43">
          <cell r="AF43">
            <v>0</v>
          </cell>
        </row>
        <row r="44">
          <cell r="AF44">
            <v>212904.3416652435</v>
          </cell>
        </row>
        <row r="45">
          <cell r="AF45">
            <v>5789086.8100000005</v>
          </cell>
        </row>
        <row r="46">
          <cell r="AF46">
            <v>5749453.1899999995</v>
          </cell>
        </row>
        <row r="47">
          <cell r="AF47">
            <v>386561.73</v>
          </cell>
        </row>
        <row r="48">
          <cell r="AF48">
            <v>5709097.090000001</v>
          </cell>
        </row>
        <row r="49">
          <cell r="AF49">
            <v>5766680.35</v>
          </cell>
        </row>
        <row r="50">
          <cell r="AF50">
            <v>661079.3999999998</v>
          </cell>
        </row>
        <row r="51">
          <cell r="AF51">
            <v>0</v>
          </cell>
        </row>
        <row r="52">
          <cell r="AF52" t="str">
            <v>Горячее водоснабжение</v>
          </cell>
        </row>
        <row r="53">
          <cell r="AF53">
            <v>0</v>
          </cell>
        </row>
        <row r="54">
          <cell r="AF54">
            <v>75360.32066433765</v>
          </cell>
        </row>
        <row r="55">
          <cell r="AF55">
            <v>9830531.280000003</v>
          </cell>
        </row>
        <row r="56">
          <cell r="AF56">
            <v>10286204.069999998</v>
          </cell>
        </row>
        <row r="57">
          <cell r="AF57">
            <v>-101913.53000000009</v>
          </cell>
        </row>
        <row r="58">
          <cell r="AF58">
            <v>8506242.08</v>
          </cell>
        </row>
        <row r="59">
          <cell r="AF59">
            <v>10128684.520000001</v>
          </cell>
        </row>
        <row r="60">
          <cell r="AF60">
            <v>1677482.55</v>
          </cell>
        </row>
        <row r="61">
          <cell r="AF61">
            <v>0</v>
          </cell>
        </row>
        <row r="62">
          <cell r="AF62" t="str">
            <v>Водоотведение</v>
          </cell>
        </row>
        <row r="63">
          <cell r="AF63">
            <v>0</v>
          </cell>
        </row>
        <row r="64">
          <cell r="AF64">
            <v>288264.6623295812</v>
          </cell>
        </row>
        <row r="65">
          <cell r="AF65">
            <v>4274408.04</v>
          </cell>
        </row>
        <row r="66">
          <cell r="AF66">
            <v>4311699.879999999</v>
          </cell>
        </row>
        <row r="67">
          <cell r="AF67">
            <v>190828.53</v>
          </cell>
        </row>
        <row r="68">
          <cell r="AF68">
            <v>4154833.1800000006</v>
          </cell>
        </row>
        <row r="69">
          <cell r="AF69">
            <v>4337873.26</v>
          </cell>
        </row>
        <row r="70">
          <cell r="AF70">
            <v>532643.13</v>
          </cell>
        </row>
        <row r="71">
          <cell r="AF71">
            <v>0</v>
          </cell>
        </row>
        <row r="72">
          <cell r="AF72" t="str">
            <v>Отопление</v>
          </cell>
        </row>
        <row r="73">
          <cell r="AF73">
            <v>0</v>
          </cell>
        </row>
        <row r="74">
          <cell r="AF74">
            <v>16799.306599570573</v>
          </cell>
        </row>
        <row r="75">
          <cell r="AF75">
            <v>27846309.810000002</v>
          </cell>
        </row>
        <row r="76">
          <cell r="AF76">
            <v>27127906.419999994</v>
          </cell>
        </row>
        <row r="77">
          <cell r="AF77">
            <v>2274826.2329999995</v>
          </cell>
        </row>
        <row r="78">
          <cell r="AF78">
            <v>29193616.48</v>
          </cell>
        </row>
        <row r="79">
          <cell r="AF79">
            <v>25851382.369999994</v>
          </cell>
        </row>
        <row r="80">
          <cell r="AF80">
            <v>4524639.1899999995</v>
          </cell>
        </row>
        <row r="81">
          <cell r="AF81">
            <v>0</v>
          </cell>
        </row>
        <row r="82">
          <cell r="AF82">
            <v>0</v>
          </cell>
        </row>
        <row r="83">
          <cell r="AF83">
            <v>0</v>
          </cell>
        </row>
        <row r="84">
          <cell r="AF84">
            <v>0</v>
          </cell>
        </row>
        <row r="85">
          <cell r="AF85">
            <v>0</v>
          </cell>
        </row>
        <row r="86">
          <cell r="AF86">
            <v>0</v>
          </cell>
        </row>
        <row r="87">
          <cell r="AF87">
            <v>0</v>
          </cell>
        </row>
        <row r="88">
          <cell r="AF88">
            <v>185</v>
          </cell>
        </row>
        <row r="89">
          <cell r="AF89">
            <v>13</v>
          </cell>
        </row>
        <row r="90">
          <cell r="AF90">
            <v>634006</v>
          </cell>
        </row>
        <row r="96">
          <cell r="AF96">
            <v>55664048.2903</v>
          </cell>
        </row>
        <row r="97">
          <cell r="AF97">
            <v>4156163</v>
          </cell>
        </row>
        <row r="98">
          <cell r="AF98">
            <v>3700883</v>
          </cell>
        </row>
        <row r="99">
          <cell r="AF99">
            <v>1226295.4400000004</v>
          </cell>
        </row>
        <row r="100">
          <cell r="AF100">
            <v>1908536</v>
          </cell>
        </row>
        <row r="101">
          <cell r="AF101">
            <v>6727000.79</v>
          </cell>
        </row>
        <row r="102">
          <cell r="AF102">
            <v>0</v>
          </cell>
        </row>
        <row r="103">
          <cell r="AF103">
            <v>5686553.37</v>
          </cell>
        </row>
        <row r="104">
          <cell r="AF104">
            <v>329858.6</v>
          </cell>
        </row>
        <row r="105">
          <cell r="AF105">
            <v>670224.82</v>
          </cell>
        </row>
        <row r="106">
          <cell r="AF106">
            <v>40364</v>
          </cell>
        </row>
        <row r="107">
          <cell r="AF107">
            <v>16607168.459999995</v>
          </cell>
        </row>
        <row r="108">
          <cell r="AF108">
            <v>6409681</v>
          </cell>
        </row>
        <row r="109">
          <cell r="AF109">
            <v>1980589</v>
          </cell>
        </row>
        <row r="110">
          <cell r="AF110">
            <v>536698.62</v>
          </cell>
        </row>
        <row r="111">
          <cell r="AF111">
            <v>250629</v>
          </cell>
        </row>
        <row r="112">
          <cell r="AF112">
            <v>57516</v>
          </cell>
        </row>
        <row r="113">
          <cell r="AF113">
            <v>120981</v>
          </cell>
        </row>
        <row r="114">
          <cell r="AF114">
            <v>6974</v>
          </cell>
        </row>
        <row r="115">
          <cell r="AF115">
            <v>65158</v>
          </cell>
        </row>
        <row r="116">
          <cell r="AF116">
            <v>0</v>
          </cell>
        </row>
        <row r="117">
          <cell r="AF117">
            <v>0</v>
          </cell>
        </row>
        <row r="118">
          <cell r="AF118">
            <v>1246781</v>
          </cell>
        </row>
        <row r="119">
          <cell r="AF119">
            <v>4966883.840000001</v>
          </cell>
        </row>
        <row r="120">
          <cell r="AF120">
            <v>2108293.37</v>
          </cell>
        </row>
        <row r="121">
          <cell r="AF121">
            <v>959100.1899999998</v>
          </cell>
        </row>
        <row r="122">
          <cell r="AF122">
            <v>1138749.82</v>
          </cell>
        </row>
        <row r="123">
          <cell r="AF123">
            <v>528063.64</v>
          </cell>
        </row>
        <row r="124">
          <cell r="AF124">
            <v>232676.81999999998</v>
          </cell>
        </row>
        <row r="125">
          <cell r="AF125">
            <v>0</v>
          </cell>
        </row>
        <row r="126">
          <cell r="AF126">
            <v>0</v>
          </cell>
        </row>
        <row r="127">
          <cell r="AF127">
            <v>0</v>
          </cell>
        </row>
        <row r="128">
          <cell r="AF128">
            <v>0</v>
          </cell>
        </row>
        <row r="129">
          <cell r="AF129">
            <v>0</v>
          </cell>
        </row>
        <row r="130">
          <cell r="AF130">
            <v>1215906</v>
          </cell>
        </row>
        <row r="131">
          <cell r="AF131">
            <v>89891</v>
          </cell>
        </row>
        <row r="132">
          <cell r="AF132">
            <v>270990</v>
          </cell>
        </row>
        <row r="133">
          <cell r="AF133">
            <v>155408</v>
          </cell>
        </row>
        <row r="134">
          <cell r="AF134">
            <v>48175</v>
          </cell>
        </row>
        <row r="135">
          <cell r="AF135">
            <v>651442</v>
          </cell>
        </row>
        <row r="136">
          <cell r="AF136">
            <v>279734.95</v>
          </cell>
        </row>
        <row r="137">
          <cell r="AF137">
            <v>639574.8099999999</v>
          </cell>
        </row>
        <row r="138">
          <cell r="AF138">
            <v>7882764</v>
          </cell>
        </row>
        <row r="139">
          <cell r="AF139">
            <v>48454.729999999996</v>
          </cell>
        </row>
        <row r="140">
          <cell r="AF140">
            <v>12136734.110299999</v>
          </cell>
        </row>
        <row r="141">
          <cell r="AF141">
            <v>3857122.1103000008</v>
          </cell>
        </row>
        <row r="142">
          <cell r="AF142">
            <v>350739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огинское ш. 10"/>
      <sheetName val="Ногинское ш. 12а"/>
      <sheetName val="Ногинское ш. 20"/>
      <sheetName val="Ногинское ш. 22"/>
      <sheetName val="пр. Ленина 4"/>
      <sheetName val="пр. Ленина 4а"/>
      <sheetName val="пр. Ленина 6"/>
      <sheetName val="пр. Ленина 8"/>
      <sheetName val="ул. Пушкина 27"/>
      <sheetName val="ул. Пушкина 31а"/>
      <sheetName val="ул. Жулябина 27"/>
      <sheetName val="Свод."/>
    </sheetNames>
    <sheetDataSet>
      <sheetData sheetId="11">
        <row r="3">
          <cell r="O3">
            <v>3872861.1799999997</v>
          </cell>
        </row>
        <row r="4">
          <cell r="O4">
            <v>0</v>
          </cell>
        </row>
        <row r="5">
          <cell r="O5">
            <v>3872861.1799999997</v>
          </cell>
        </row>
        <row r="6">
          <cell r="O6">
            <v>23750968.859999996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23383453.539999995</v>
          </cell>
        </row>
        <row r="11">
          <cell r="O11">
            <v>23383453.539999995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23383453.539999995</v>
          </cell>
        </row>
        <row r="17">
          <cell r="O17">
            <v>4240376.5</v>
          </cell>
        </row>
        <row r="18">
          <cell r="O18">
            <v>0</v>
          </cell>
        </row>
        <row r="19">
          <cell r="O19">
            <v>4240376.5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519660.37</v>
          </cell>
        </row>
        <row r="36">
          <cell r="O36">
            <v>0</v>
          </cell>
        </row>
        <row r="37">
          <cell r="O37">
            <v>519660.37</v>
          </cell>
        </row>
        <row r="38">
          <cell r="O38">
            <v>-44328.33999999997</v>
          </cell>
        </row>
        <row r="39">
          <cell r="O39">
            <v>1337761.8900000001</v>
          </cell>
        </row>
        <row r="40">
          <cell r="O40">
            <v>1293433.537</v>
          </cell>
        </row>
        <row r="41">
          <cell r="O41">
            <v>0</v>
          </cell>
        </row>
        <row r="42">
          <cell r="O42" t="str">
            <v>Холодное водоснабжение</v>
          </cell>
        </row>
        <row r="43">
          <cell r="O43">
            <v>0</v>
          </cell>
        </row>
        <row r="44">
          <cell r="O44">
            <v>55542.4369652715</v>
          </cell>
        </row>
        <row r="45">
          <cell r="O45">
            <v>1543271.15</v>
          </cell>
        </row>
        <row r="46">
          <cell r="O46">
            <v>1650710.62</v>
          </cell>
        </row>
        <row r="47">
          <cell r="O47">
            <v>-33869.370000000024</v>
          </cell>
        </row>
        <row r="48">
          <cell r="O48">
            <v>1456168.05</v>
          </cell>
        </row>
        <row r="49">
          <cell r="O49">
            <v>1681931.92</v>
          </cell>
        </row>
        <row r="50">
          <cell r="O50">
            <v>10540.669999999991</v>
          </cell>
        </row>
        <row r="51">
          <cell r="O51">
            <v>0</v>
          </cell>
        </row>
        <row r="52">
          <cell r="O52" t="str">
            <v>Горячее водоснабжение</v>
          </cell>
        </row>
        <row r="53">
          <cell r="O53">
            <v>0</v>
          </cell>
        </row>
        <row r="54">
          <cell r="O54">
            <v>19924.94195519233</v>
          </cell>
        </row>
        <row r="55">
          <cell r="O55">
            <v>2717166.81</v>
          </cell>
        </row>
        <row r="56">
          <cell r="O56">
            <v>3119764.82</v>
          </cell>
        </row>
        <row r="57">
          <cell r="O57">
            <v>-269634.42</v>
          </cell>
        </row>
        <row r="58">
          <cell r="O58">
            <v>2717166.81</v>
          </cell>
        </row>
        <row r="59">
          <cell r="O59">
            <v>4622950.6899999995</v>
          </cell>
        </row>
        <row r="60">
          <cell r="O60">
            <v>204686.5</v>
          </cell>
        </row>
        <row r="61">
          <cell r="O61">
            <v>0</v>
          </cell>
        </row>
        <row r="62">
          <cell r="O62" t="str">
            <v>Водоотведение</v>
          </cell>
        </row>
        <row r="63">
          <cell r="O63">
            <v>0</v>
          </cell>
        </row>
        <row r="64">
          <cell r="O64">
            <v>75467.37892046385</v>
          </cell>
        </row>
        <row r="65">
          <cell r="O65">
            <v>1143912.0699999998</v>
          </cell>
        </row>
        <row r="66">
          <cell r="O66">
            <v>1247184.29</v>
          </cell>
        </row>
        <row r="67">
          <cell r="O67">
            <v>-48776.64999999998</v>
          </cell>
        </row>
        <row r="68">
          <cell r="O68">
            <v>1143089.14</v>
          </cell>
        </row>
        <row r="69">
          <cell r="O69">
            <v>1463170</v>
          </cell>
        </row>
        <row r="70">
          <cell r="O70">
            <v>-23240.269999999997</v>
          </cell>
        </row>
        <row r="71">
          <cell r="O71">
            <v>0</v>
          </cell>
        </row>
        <row r="72">
          <cell r="O72" t="str">
            <v>Отопление</v>
          </cell>
        </row>
        <row r="73">
          <cell r="O73">
            <v>0</v>
          </cell>
        </row>
        <row r="74">
          <cell r="O74">
            <v>5266.498332630785</v>
          </cell>
        </row>
        <row r="75">
          <cell r="O75">
            <v>8015542.71</v>
          </cell>
        </row>
        <row r="76">
          <cell r="O76">
            <v>7966221.432999999</v>
          </cell>
        </row>
        <row r="77">
          <cell r="O77">
            <v>307952.097</v>
          </cell>
        </row>
        <row r="78">
          <cell r="O78">
            <v>8893347.56</v>
          </cell>
        </row>
        <row r="79">
          <cell r="O79">
            <v>8617814.11</v>
          </cell>
        </row>
        <row r="80">
          <cell r="O80">
            <v>991509.9099999999</v>
          </cell>
        </row>
        <row r="81">
          <cell r="O81">
            <v>2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91</v>
          </cell>
        </row>
        <row r="89">
          <cell r="O89">
            <v>12</v>
          </cell>
        </row>
        <row r="90">
          <cell r="O90">
            <v>319702</v>
          </cell>
        </row>
        <row r="97">
          <cell r="O97">
            <v>20418010.520200003</v>
          </cell>
        </row>
        <row r="98">
          <cell r="O98">
            <v>1522968</v>
          </cell>
        </row>
        <row r="99">
          <cell r="O99">
            <v>2050038</v>
          </cell>
        </row>
        <row r="100">
          <cell r="O100">
            <v>418658.20999999996</v>
          </cell>
        </row>
        <row r="101">
          <cell r="O101">
            <v>378324</v>
          </cell>
        </row>
        <row r="102">
          <cell r="O102">
            <v>2731124.07</v>
          </cell>
        </row>
        <row r="103">
          <cell r="O103">
            <v>0</v>
          </cell>
        </row>
        <row r="104">
          <cell r="O104">
            <v>2112016.2600000002</v>
          </cell>
        </row>
        <row r="105">
          <cell r="O105">
            <v>120917.78</v>
          </cell>
        </row>
        <row r="106">
          <cell r="O106">
            <v>485713.03</v>
          </cell>
        </row>
        <row r="107">
          <cell r="O107">
            <v>12477</v>
          </cell>
        </row>
        <row r="108">
          <cell r="O108">
            <v>5062492.51</v>
          </cell>
        </row>
        <row r="109">
          <cell r="O109">
            <v>1778503</v>
          </cell>
        </row>
        <row r="110">
          <cell r="O110">
            <v>549559</v>
          </cell>
        </row>
        <row r="111">
          <cell r="O111">
            <v>220225.05000000005</v>
          </cell>
        </row>
        <row r="112">
          <cell r="O112">
            <v>270040</v>
          </cell>
        </row>
        <row r="113">
          <cell r="O113">
            <v>22472</v>
          </cell>
        </row>
        <row r="114">
          <cell r="O114">
            <v>84037</v>
          </cell>
        </row>
        <row r="115">
          <cell r="O115">
            <v>163531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485313</v>
          </cell>
        </row>
        <row r="120">
          <cell r="O120">
            <v>1459002.46</v>
          </cell>
        </row>
        <row r="121">
          <cell r="O121">
            <v>348797.36</v>
          </cell>
        </row>
        <row r="122">
          <cell r="O122">
            <v>938846.53</v>
          </cell>
        </row>
        <row r="123">
          <cell r="O123">
            <v>9604.83</v>
          </cell>
        </row>
        <row r="124">
          <cell r="O124">
            <v>161753.74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299850</v>
          </cell>
        </row>
        <row r="132">
          <cell r="O132">
            <v>34991</v>
          </cell>
        </row>
        <row r="133">
          <cell r="O133">
            <v>105483</v>
          </cell>
        </row>
        <row r="134">
          <cell r="O134">
            <v>59288</v>
          </cell>
        </row>
        <row r="135">
          <cell r="O135">
            <v>31238</v>
          </cell>
        </row>
        <row r="136">
          <cell r="O136">
            <v>68850</v>
          </cell>
        </row>
        <row r="137">
          <cell r="O137">
            <v>46002.37</v>
          </cell>
        </row>
        <row r="138">
          <cell r="O138">
            <v>172223.36</v>
          </cell>
        </row>
        <row r="139">
          <cell r="O139">
            <v>3068389</v>
          </cell>
        </row>
        <row r="140">
          <cell r="O140">
            <v>16610.35</v>
          </cell>
        </row>
        <row r="141">
          <cell r="O141">
            <v>4814656.6502</v>
          </cell>
        </row>
        <row r="142">
          <cell r="O142">
            <v>1351319.6501999998</v>
          </cell>
        </row>
        <row r="143">
          <cell r="O143">
            <v>136524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ольничный проезд 18"/>
      <sheetName val="Больничный проезд 22"/>
      <sheetName val="Больничный проезд 26"/>
      <sheetName val="ул. Лермонтова 7"/>
      <sheetName val="ул. Лермонтова 11"/>
      <sheetName val="ул. Лермонтова 21"/>
      <sheetName val="ул. Расковой 4"/>
      <sheetName val="ул. Советская 5"/>
      <sheetName val="Фрязевское ш. 124"/>
      <sheetName val="Свод."/>
    </sheetNames>
    <sheetDataSet>
      <sheetData sheetId="9">
        <row r="3">
          <cell r="M3">
            <v>730094.88</v>
          </cell>
        </row>
        <row r="4">
          <cell r="M4">
            <v>0</v>
          </cell>
        </row>
        <row r="5">
          <cell r="M5">
            <v>730094.88</v>
          </cell>
        </row>
        <row r="6">
          <cell r="M6">
            <v>3307509.52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0</v>
          </cell>
        </row>
        <row r="10">
          <cell r="M10">
            <v>3051615.7600000002</v>
          </cell>
        </row>
        <row r="11">
          <cell r="M11">
            <v>3051615.7600000002</v>
          </cell>
        </row>
        <row r="12"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0</v>
          </cell>
        </row>
        <row r="16">
          <cell r="M16">
            <v>3051615.7600000002</v>
          </cell>
        </row>
        <row r="17">
          <cell r="M17">
            <v>985988.6400000001</v>
          </cell>
        </row>
        <row r="18">
          <cell r="M18">
            <v>0</v>
          </cell>
        </row>
        <row r="19">
          <cell r="M19">
            <v>985988.6400000001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121943.19</v>
          </cell>
        </row>
        <row r="36">
          <cell r="M36">
            <v>0</v>
          </cell>
        </row>
        <row r="37">
          <cell r="M37">
            <v>121943.19</v>
          </cell>
        </row>
        <row r="38">
          <cell r="M38">
            <v>447804.83999999997</v>
          </cell>
        </row>
        <row r="39">
          <cell r="M39">
            <v>0</v>
          </cell>
        </row>
        <row r="40">
          <cell r="M40">
            <v>447804.83999999997</v>
          </cell>
        </row>
        <row r="41">
          <cell r="M41">
            <v>0</v>
          </cell>
        </row>
        <row r="42">
          <cell r="M42" t="str">
            <v>Холодное водоснабжение</v>
          </cell>
        </row>
        <row r="43">
          <cell r="M43">
            <v>0</v>
          </cell>
        </row>
        <row r="44">
          <cell r="M44">
            <v>12125.229691794038</v>
          </cell>
        </row>
        <row r="45">
          <cell r="M45">
            <v>338951.7</v>
          </cell>
        </row>
        <row r="46">
          <cell r="M46">
            <v>278594.76</v>
          </cell>
        </row>
        <row r="47">
          <cell r="M47">
            <v>94664.23</v>
          </cell>
        </row>
        <row r="48">
          <cell r="M48">
            <v>338951.7</v>
          </cell>
        </row>
        <row r="49">
          <cell r="M49">
            <v>411810.92000000004</v>
          </cell>
        </row>
        <row r="50">
          <cell r="M50">
            <v>-18284.059999999998</v>
          </cell>
        </row>
        <row r="51">
          <cell r="M51">
            <v>0</v>
          </cell>
        </row>
        <row r="52">
          <cell r="M52" t="str">
            <v>Горячее водоснабжение</v>
          </cell>
        </row>
        <row r="53">
          <cell r="M53">
            <v>0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M60">
            <v>0</v>
          </cell>
        </row>
        <row r="61">
          <cell r="M61">
            <v>0</v>
          </cell>
        </row>
        <row r="62">
          <cell r="M62" t="str">
            <v>Водоотведение</v>
          </cell>
        </row>
        <row r="63">
          <cell r="M63">
            <v>0</v>
          </cell>
        </row>
        <row r="64">
          <cell r="M64">
            <v>12125.229691794038</v>
          </cell>
        </row>
        <row r="65">
          <cell r="M65">
            <v>185801.58</v>
          </cell>
        </row>
        <row r="66">
          <cell r="M66">
            <v>152769.13</v>
          </cell>
        </row>
        <row r="67">
          <cell r="M67">
            <v>51704.270000000004</v>
          </cell>
        </row>
        <row r="68">
          <cell r="M68">
            <v>185801.58</v>
          </cell>
        </row>
        <row r="69">
          <cell r="M69">
            <v>246760.76</v>
          </cell>
        </row>
        <row r="70">
          <cell r="M70">
            <v>-10955.97</v>
          </cell>
        </row>
        <row r="71">
          <cell r="M71">
            <v>0</v>
          </cell>
        </row>
        <row r="72">
          <cell r="M72" t="str">
            <v>Отопление</v>
          </cell>
        </row>
        <row r="73">
          <cell r="M73">
            <v>0</v>
          </cell>
        </row>
        <row r="74">
          <cell r="M74">
            <v>859.4557221053291</v>
          </cell>
        </row>
        <row r="75">
          <cell r="M75">
            <v>1487664.1800000002</v>
          </cell>
        </row>
        <row r="76">
          <cell r="M76">
            <v>1255091.92</v>
          </cell>
        </row>
        <row r="77">
          <cell r="M77">
            <v>301436.33999999997</v>
          </cell>
        </row>
        <row r="78">
          <cell r="M78">
            <v>1487664.1800000002</v>
          </cell>
        </row>
        <row r="79">
          <cell r="M79">
            <v>1516330.85</v>
          </cell>
        </row>
        <row r="80">
          <cell r="M80">
            <v>70669.18999999999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19</v>
          </cell>
        </row>
        <row r="89">
          <cell r="M89">
            <v>4</v>
          </cell>
        </row>
        <row r="90">
          <cell r="M90">
            <v>108571</v>
          </cell>
        </row>
        <row r="97">
          <cell r="M97">
            <v>4304013.7403</v>
          </cell>
        </row>
        <row r="98">
          <cell r="M98">
            <v>375194</v>
          </cell>
        </row>
        <row r="99">
          <cell r="M99">
            <v>193516</v>
          </cell>
        </row>
        <row r="100">
          <cell r="M100">
            <v>117338.62999999999</v>
          </cell>
        </row>
        <row r="101">
          <cell r="M101">
            <v>0</v>
          </cell>
        </row>
        <row r="102">
          <cell r="M102">
            <v>0</v>
          </cell>
        </row>
        <row r="103">
          <cell r="M103">
            <v>0</v>
          </cell>
        </row>
        <row r="104">
          <cell r="M104">
            <v>0</v>
          </cell>
        </row>
        <row r="105">
          <cell r="M105">
            <v>0</v>
          </cell>
        </row>
        <row r="106">
          <cell r="M106">
            <v>0</v>
          </cell>
        </row>
        <row r="107">
          <cell r="M107">
            <v>0</v>
          </cell>
        </row>
        <row r="108">
          <cell r="M108">
            <v>1767960.67</v>
          </cell>
        </row>
        <row r="109">
          <cell r="M109">
            <v>1003624</v>
          </cell>
        </row>
        <row r="110">
          <cell r="M110">
            <v>310120</v>
          </cell>
        </row>
        <row r="111">
          <cell r="M111">
            <v>36348.39</v>
          </cell>
        </row>
        <row r="112">
          <cell r="M112">
            <v>12298</v>
          </cell>
        </row>
        <row r="113">
          <cell r="M113">
            <v>12298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M118">
            <v>0</v>
          </cell>
        </row>
        <row r="119">
          <cell r="M119">
            <v>80851</v>
          </cell>
        </row>
        <row r="120">
          <cell r="M120">
            <v>259874.28</v>
          </cell>
        </row>
        <row r="121">
          <cell r="M121">
            <v>257692.11</v>
          </cell>
        </row>
        <row r="122">
          <cell r="M122">
            <v>2182.17</v>
          </cell>
        </row>
        <row r="123">
          <cell r="M123">
            <v>0</v>
          </cell>
        </row>
        <row r="124">
          <cell r="M124">
            <v>0</v>
          </cell>
        </row>
        <row r="125">
          <cell r="M125">
            <v>0</v>
          </cell>
        </row>
        <row r="126">
          <cell r="M126">
            <v>0</v>
          </cell>
        </row>
        <row r="127">
          <cell r="M127">
            <v>0</v>
          </cell>
        </row>
        <row r="128">
          <cell r="M128">
            <v>0</v>
          </cell>
        </row>
        <row r="129">
          <cell r="M129">
            <v>0</v>
          </cell>
        </row>
        <row r="130">
          <cell r="M130">
            <v>0</v>
          </cell>
        </row>
        <row r="131">
          <cell r="M131">
            <v>64845</v>
          </cell>
        </row>
        <row r="132">
          <cell r="M132">
            <v>5790</v>
          </cell>
        </row>
        <row r="133">
          <cell r="M133">
            <v>17568</v>
          </cell>
        </row>
        <row r="134">
          <cell r="M134">
            <v>21846</v>
          </cell>
        </row>
        <row r="135">
          <cell r="M135">
            <v>9900</v>
          </cell>
        </row>
        <row r="136">
          <cell r="M136">
            <v>9741</v>
          </cell>
        </row>
        <row r="137">
          <cell r="M137">
            <v>9413.869999999999</v>
          </cell>
        </row>
        <row r="138">
          <cell r="M138">
            <v>64211.78</v>
          </cell>
        </row>
        <row r="139">
          <cell r="M139">
            <v>505828</v>
          </cell>
        </row>
        <row r="140">
          <cell r="M140">
            <v>3051.2</v>
          </cell>
        </row>
        <row r="141">
          <cell r="M141">
            <v>1244755.5903</v>
          </cell>
        </row>
        <row r="142">
          <cell r="M142">
            <v>214873.5903</v>
          </cell>
        </row>
        <row r="143">
          <cell r="M143">
            <v>22744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. Ленина 16"/>
      <sheetName val="пр. Ленина 20а"/>
      <sheetName val="пр. Ленина 24"/>
      <sheetName val="пр. Ленина 26"/>
      <sheetName val="пр. Ленина 28"/>
      <sheetName val="пр. Ленина 30.13"/>
      <sheetName val="ул. Маяковского 3"/>
      <sheetName val="ул. Маяковского 4"/>
      <sheetName val="ул. Маяковского 5"/>
      <sheetName val="ул. Маяковского 13"/>
      <sheetName val="Свод."/>
    </sheetNames>
    <sheetDataSet>
      <sheetData sheetId="10">
        <row r="3">
          <cell r="N3">
            <v>4582025.699999999</v>
          </cell>
        </row>
        <row r="4">
          <cell r="N4">
            <v>0</v>
          </cell>
        </row>
        <row r="5">
          <cell r="N5">
            <v>4582025.699999999</v>
          </cell>
        </row>
        <row r="6">
          <cell r="N6">
            <v>12157805.030000001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11809917.19</v>
          </cell>
        </row>
        <row r="11">
          <cell r="N11">
            <v>11809917.19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11809917.19</v>
          </cell>
        </row>
        <row r="17">
          <cell r="N17">
            <v>4929913.54</v>
          </cell>
        </row>
        <row r="18">
          <cell r="N18">
            <v>0</v>
          </cell>
        </row>
        <row r="19">
          <cell r="N19">
            <v>4929913.54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1808826.48</v>
          </cell>
        </row>
        <row r="36">
          <cell r="N36">
            <v>0</v>
          </cell>
        </row>
        <row r="37">
          <cell r="N37">
            <v>1808826.48</v>
          </cell>
        </row>
        <row r="38">
          <cell r="N38">
            <v>3565795.0900000003</v>
          </cell>
        </row>
        <row r="39">
          <cell r="N39">
            <v>0</v>
          </cell>
        </row>
        <row r="40">
          <cell r="N40">
            <v>3565795.0900000003</v>
          </cell>
        </row>
        <row r="41">
          <cell r="N41">
            <v>0</v>
          </cell>
        </row>
        <row r="42">
          <cell r="N42" t="str">
            <v>Холодное водоснабжение</v>
          </cell>
        </row>
        <row r="43">
          <cell r="N43">
            <v>0</v>
          </cell>
        </row>
        <row r="44">
          <cell r="N44">
            <v>81928.00676543082</v>
          </cell>
        </row>
        <row r="45">
          <cell r="N45">
            <v>2249609.76</v>
          </cell>
        </row>
        <row r="46">
          <cell r="N46">
            <v>1897358.3</v>
          </cell>
        </row>
        <row r="47">
          <cell r="N47">
            <v>831440.67</v>
          </cell>
        </row>
        <row r="48">
          <cell r="N48">
            <v>2296337.7399999998</v>
          </cell>
        </row>
        <row r="49">
          <cell r="N49">
            <v>2623699.1399999997</v>
          </cell>
        </row>
        <row r="50">
          <cell r="N50">
            <v>46602.48000000001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  <row r="54">
          <cell r="N54">
            <v>2348.2257618735907</v>
          </cell>
        </row>
        <row r="55">
          <cell r="N55">
            <v>322857.56</v>
          </cell>
        </row>
        <row r="56">
          <cell r="N56">
            <v>213089.79</v>
          </cell>
        </row>
        <row r="57">
          <cell r="N57">
            <v>109767.77</v>
          </cell>
        </row>
        <row r="58">
          <cell r="N58">
            <v>322857.56</v>
          </cell>
        </row>
        <row r="59">
          <cell r="N59">
            <v>609675.58</v>
          </cell>
        </row>
        <row r="60">
          <cell r="N60">
            <v>28414.17</v>
          </cell>
        </row>
        <row r="61">
          <cell r="N61">
            <v>0</v>
          </cell>
        </row>
        <row r="62">
          <cell r="N62">
            <v>0</v>
          </cell>
        </row>
        <row r="63">
          <cell r="N63">
            <v>0</v>
          </cell>
        </row>
        <row r="64">
          <cell r="N64">
            <v>84276.23252730441</v>
          </cell>
        </row>
        <row r="65">
          <cell r="N65">
            <v>1262634.27</v>
          </cell>
        </row>
        <row r="66">
          <cell r="N66">
            <v>1058278.77</v>
          </cell>
        </row>
        <row r="67">
          <cell r="N67">
            <v>464671.23999999993</v>
          </cell>
        </row>
        <row r="68">
          <cell r="N68">
            <v>1262794.3800000001</v>
          </cell>
        </row>
        <row r="69">
          <cell r="N69">
            <v>1581462.48</v>
          </cell>
        </row>
        <row r="70">
          <cell r="N70">
            <v>2399.4000000000096</v>
          </cell>
        </row>
        <row r="71">
          <cell r="N71">
            <v>0</v>
          </cell>
        </row>
        <row r="72">
          <cell r="N72">
            <v>0</v>
          </cell>
        </row>
        <row r="73">
          <cell r="N73">
            <v>0</v>
          </cell>
        </row>
        <row r="74">
          <cell r="N74">
            <v>4299.448894396446</v>
          </cell>
        </row>
        <row r="75">
          <cell r="N75">
            <v>7316781.970000001</v>
          </cell>
        </row>
        <row r="76">
          <cell r="N76">
            <v>6226188.109999999</v>
          </cell>
        </row>
        <row r="77">
          <cell r="N77">
            <v>2159915.41</v>
          </cell>
        </row>
        <row r="78">
          <cell r="N78">
            <v>7152491.630000001</v>
          </cell>
        </row>
        <row r="79">
          <cell r="N79">
            <v>7091136.580000001</v>
          </cell>
        </row>
        <row r="80">
          <cell r="N80">
            <v>593385.4500000001</v>
          </cell>
        </row>
        <row r="81">
          <cell r="N81">
            <v>0</v>
          </cell>
        </row>
        <row r="82">
          <cell r="N82">
            <v>0</v>
          </cell>
        </row>
        <row r="83">
          <cell r="N83">
            <v>0</v>
          </cell>
        </row>
        <row r="84">
          <cell r="N84">
            <v>0</v>
          </cell>
        </row>
        <row r="85">
          <cell r="N85">
            <v>0</v>
          </cell>
        </row>
        <row r="86">
          <cell r="N86">
            <v>0</v>
          </cell>
        </row>
        <row r="87">
          <cell r="N87">
            <v>0</v>
          </cell>
        </row>
        <row r="88">
          <cell r="N88">
            <v>143</v>
          </cell>
        </row>
        <row r="89">
          <cell r="N89">
            <v>14</v>
          </cell>
        </row>
        <row r="90">
          <cell r="N90">
            <v>478036</v>
          </cell>
        </row>
        <row r="97">
          <cell r="N97">
            <v>13598252.7904</v>
          </cell>
        </row>
        <row r="98">
          <cell r="N98">
            <v>1451111</v>
          </cell>
        </row>
        <row r="99">
          <cell r="N99">
            <v>776354</v>
          </cell>
        </row>
        <row r="100">
          <cell r="N100">
            <v>275046.41</v>
          </cell>
        </row>
        <row r="101">
          <cell r="N101">
            <v>0</v>
          </cell>
        </row>
        <row r="102">
          <cell r="N102">
            <v>0</v>
          </cell>
        </row>
        <row r="103">
          <cell r="N103">
            <v>0</v>
          </cell>
        </row>
        <row r="104">
          <cell r="N104">
            <v>0</v>
          </cell>
        </row>
        <row r="105">
          <cell r="N105">
            <v>0</v>
          </cell>
        </row>
        <row r="106">
          <cell r="N106">
            <v>0</v>
          </cell>
        </row>
        <row r="107">
          <cell r="N107">
            <v>0</v>
          </cell>
        </row>
        <row r="108">
          <cell r="N108">
            <v>4322974.54</v>
          </cell>
        </row>
        <row r="109">
          <cell r="N109">
            <v>1928713</v>
          </cell>
        </row>
        <row r="110">
          <cell r="N110">
            <v>595973</v>
          </cell>
        </row>
        <row r="111">
          <cell r="N111">
            <v>195562.42000000004</v>
          </cell>
        </row>
        <row r="112">
          <cell r="N112">
            <v>22914</v>
          </cell>
        </row>
        <row r="113">
          <cell r="N113">
            <v>15085</v>
          </cell>
        </row>
        <row r="114">
          <cell r="N114">
            <v>7829</v>
          </cell>
        </row>
        <row r="115">
          <cell r="N115">
            <v>0</v>
          </cell>
        </row>
        <row r="116">
          <cell r="N116">
            <v>0</v>
          </cell>
        </row>
        <row r="117">
          <cell r="N117">
            <v>0</v>
          </cell>
        </row>
        <row r="118">
          <cell r="N118">
            <v>0</v>
          </cell>
        </row>
        <row r="119">
          <cell r="N119">
            <v>290533</v>
          </cell>
        </row>
        <row r="120">
          <cell r="N120">
            <v>1072903.1199999999</v>
          </cell>
        </row>
        <row r="121">
          <cell r="N121">
            <v>224032.97</v>
          </cell>
        </row>
        <row r="122">
          <cell r="N122">
            <v>358045.04000000004</v>
          </cell>
        </row>
        <row r="123">
          <cell r="N123">
            <v>243548.62000000002</v>
          </cell>
        </row>
        <row r="124">
          <cell r="N124">
            <v>42481.600000000006</v>
          </cell>
        </row>
        <row r="125">
          <cell r="N125">
            <v>130791.75</v>
          </cell>
        </row>
        <row r="126">
          <cell r="N126">
            <v>74003.14</v>
          </cell>
        </row>
        <row r="127">
          <cell r="N127">
            <v>0</v>
          </cell>
        </row>
        <row r="128">
          <cell r="N128">
            <v>0</v>
          </cell>
        </row>
        <row r="129">
          <cell r="N129">
            <v>0</v>
          </cell>
        </row>
        <row r="130">
          <cell r="N130">
            <v>0</v>
          </cell>
        </row>
        <row r="131">
          <cell r="N131">
            <v>216376</v>
          </cell>
        </row>
        <row r="132">
          <cell r="N132">
            <v>20947</v>
          </cell>
        </row>
        <row r="133">
          <cell r="N133">
            <v>63148</v>
          </cell>
        </row>
        <row r="134">
          <cell r="N134">
            <v>55928</v>
          </cell>
        </row>
        <row r="135">
          <cell r="N135">
            <v>24033</v>
          </cell>
        </row>
        <row r="136">
          <cell r="N136">
            <v>52320</v>
          </cell>
        </row>
        <row r="137">
          <cell r="N137">
            <v>125438.76999999999</v>
          </cell>
        </row>
        <row r="138">
          <cell r="N138">
            <v>229016.55</v>
          </cell>
        </row>
        <row r="139">
          <cell r="N139">
            <v>1836902</v>
          </cell>
        </row>
        <row r="140">
          <cell r="N140">
            <v>22511.949999999997</v>
          </cell>
        </row>
        <row r="141">
          <cell r="N141">
            <v>4477167.570400001</v>
          </cell>
        </row>
        <row r="142">
          <cell r="N142">
            <v>961632.5704000001</v>
          </cell>
        </row>
        <row r="143">
          <cell r="N143">
            <v>81730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иколаева 8"/>
      <sheetName val="Николаева 12"/>
      <sheetName val="Николаева 14"/>
      <sheetName val="Николаева 22"/>
      <sheetName val="Николаева 31"/>
      <sheetName val="Парковая 15"/>
      <sheetName val="Парковая 17"/>
      <sheetName val="Парковая 19"/>
      <sheetName val="Парковая 21"/>
      <sheetName val="Расковой 3"/>
      <sheetName val="Расковой 5"/>
      <sheetName val="Расковой 7"/>
      <sheetName val="Расковой 9"/>
      <sheetName val="Расковой 11"/>
      <sheetName val="Расковой 13"/>
      <sheetName val="Расковой 15"/>
      <sheetName val="Расковой 17"/>
      <sheetName val="Расковой 21"/>
      <sheetName val="Советская 4-1"/>
      <sheetName val="Советская 6-2"/>
      <sheetName val="Чернышевского 3"/>
      <sheetName val="Чернышевского 4"/>
      <sheetName val="Чернышевского 5"/>
      <sheetName val="Чернышевского 6"/>
      <sheetName val="Чернышевского 7"/>
      <sheetName val="Чернышевского 8"/>
      <sheetName val="Чернышевского 9"/>
      <sheetName val="Чернышевского 9а"/>
      <sheetName val="Чернышевского 10"/>
      <sheetName val="Чернышевского 10а"/>
      <sheetName val="Чернышевского 11"/>
      <sheetName val="Чернышевского 12"/>
      <sheetName val="Чернышевского 12а"/>
      <sheetName val="Чернышевского 13"/>
      <sheetName val="Чернышевского 15"/>
      <sheetName val="Чернышевского 19"/>
      <sheetName val="Чернышевского 21"/>
      <sheetName val="Чернышевского 22"/>
      <sheetName val="Чернышевского 24"/>
      <sheetName val="Чернышевского 25"/>
      <sheetName val="Свод."/>
    </sheetNames>
    <sheetDataSet>
      <sheetData sheetId="40">
        <row r="3">
          <cell r="AR3">
            <v>4612563.77</v>
          </cell>
        </row>
        <row r="4">
          <cell r="AR4">
            <v>0</v>
          </cell>
        </row>
        <row r="5">
          <cell r="AR5">
            <v>4612563.77</v>
          </cell>
        </row>
        <row r="6">
          <cell r="AR6">
            <v>6786905.46</v>
          </cell>
        </row>
        <row r="7">
          <cell r="AR7">
            <v>0</v>
          </cell>
        </row>
        <row r="8">
          <cell r="AR8">
            <v>0</v>
          </cell>
        </row>
        <row r="9">
          <cell r="AR9">
            <v>0</v>
          </cell>
        </row>
        <row r="10">
          <cell r="AR10">
            <v>5246492.4</v>
          </cell>
        </row>
        <row r="11">
          <cell r="AR11">
            <v>5246492.4</v>
          </cell>
        </row>
        <row r="12">
          <cell r="AR12">
            <v>0</v>
          </cell>
        </row>
        <row r="13">
          <cell r="AR13">
            <v>0</v>
          </cell>
        </row>
        <row r="14">
          <cell r="AR14">
            <v>0</v>
          </cell>
        </row>
        <row r="15">
          <cell r="AR15">
            <v>0</v>
          </cell>
        </row>
        <row r="16">
          <cell r="AR16">
            <v>5246492.4</v>
          </cell>
        </row>
        <row r="17">
          <cell r="AR17">
            <v>6152976.829999998</v>
          </cell>
        </row>
        <row r="18">
          <cell r="AR18">
            <v>0</v>
          </cell>
        </row>
        <row r="19">
          <cell r="AR19">
            <v>6152976.829999998</v>
          </cell>
        </row>
        <row r="20">
          <cell r="AR20">
            <v>0</v>
          </cell>
        </row>
        <row r="21">
          <cell r="AR21">
            <v>0</v>
          </cell>
        </row>
        <row r="22">
          <cell r="AR22">
            <v>0</v>
          </cell>
        </row>
        <row r="23">
          <cell r="AR23">
            <v>0</v>
          </cell>
        </row>
        <row r="24">
          <cell r="AR24">
            <v>0</v>
          </cell>
        </row>
        <row r="25">
          <cell r="AR25">
            <v>0</v>
          </cell>
        </row>
        <row r="26">
          <cell r="AR26">
            <v>0</v>
          </cell>
        </row>
        <row r="27">
          <cell r="AR27">
            <v>0</v>
          </cell>
        </row>
        <row r="28">
          <cell r="AR28">
            <v>0</v>
          </cell>
        </row>
        <row r="29">
          <cell r="AR29">
            <v>0</v>
          </cell>
        </row>
        <row r="30">
          <cell r="AR30">
            <v>0</v>
          </cell>
        </row>
        <row r="31">
          <cell r="AR31">
            <v>0</v>
          </cell>
        </row>
        <row r="32">
          <cell r="AR32">
            <v>0</v>
          </cell>
        </row>
        <row r="33">
          <cell r="AR33">
            <v>0</v>
          </cell>
        </row>
        <row r="34">
          <cell r="AR34">
            <v>0</v>
          </cell>
        </row>
        <row r="35">
          <cell r="AR35">
            <v>3427007.64</v>
          </cell>
        </row>
        <row r="36">
          <cell r="AR36">
            <v>0</v>
          </cell>
        </row>
        <row r="37">
          <cell r="AR37">
            <v>3427007.64</v>
          </cell>
        </row>
        <row r="38">
          <cell r="AR38">
            <v>3805178.1109999996</v>
          </cell>
        </row>
        <row r="39">
          <cell r="AR39">
            <v>0</v>
          </cell>
        </row>
        <row r="40">
          <cell r="AR40">
            <v>3706197.1609999994</v>
          </cell>
        </row>
        <row r="41">
          <cell r="AR41">
            <v>0</v>
          </cell>
        </row>
        <row r="42">
          <cell r="AR42">
            <v>0</v>
          </cell>
        </row>
        <row r="43">
          <cell r="AR43">
            <v>0</v>
          </cell>
        </row>
        <row r="44">
          <cell r="AR44">
            <v>76554.59131621802</v>
          </cell>
        </row>
        <row r="45">
          <cell r="AR45">
            <v>2060291.3800000001</v>
          </cell>
        </row>
        <row r="46">
          <cell r="AR46">
            <v>1989225.0300000003</v>
          </cell>
        </row>
        <row r="47">
          <cell r="AR47">
            <v>867285.1699999998</v>
          </cell>
        </row>
        <row r="48">
          <cell r="AR48">
            <v>2084295.3</v>
          </cell>
        </row>
        <row r="49">
          <cell r="AR49">
            <v>2466322.210000001</v>
          </cell>
        </row>
        <row r="50">
          <cell r="AR50">
            <v>-45726.250000000015</v>
          </cell>
        </row>
        <row r="51">
          <cell r="AR51">
            <v>0</v>
          </cell>
        </row>
        <row r="52">
          <cell r="AR52">
            <v>0</v>
          </cell>
        </row>
        <row r="53">
          <cell r="AR53">
            <v>0</v>
          </cell>
        </row>
        <row r="54">
          <cell r="AR54">
            <v>1178.0621136082625</v>
          </cell>
        </row>
        <row r="55">
          <cell r="AR55">
            <v>161971.76</v>
          </cell>
        </row>
        <row r="56">
          <cell r="AR56">
            <v>125209.4</v>
          </cell>
        </row>
        <row r="57">
          <cell r="AR57">
            <v>36762.36</v>
          </cell>
        </row>
        <row r="58">
          <cell r="AR58">
            <v>161971.76</v>
          </cell>
        </row>
        <row r="59">
          <cell r="AR59">
            <v>305863.14</v>
          </cell>
        </row>
        <row r="60">
          <cell r="AR60">
            <v>14254.87</v>
          </cell>
        </row>
        <row r="61">
          <cell r="AR61">
            <v>0</v>
          </cell>
        </row>
        <row r="62">
          <cell r="AR62">
            <v>0</v>
          </cell>
        </row>
        <row r="63">
          <cell r="AR63">
            <v>0</v>
          </cell>
        </row>
        <row r="64">
          <cell r="AR64">
            <v>77732.65342982628</v>
          </cell>
        </row>
        <row r="65">
          <cell r="AR65">
            <v>1136070.7200000002</v>
          </cell>
        </row>
        <row r="66">
          <cell r="AR66">
            <v>1092098.3699999996</v>
          </cell>
        </row>
        <row r="67">
          <cell r="AR67">
            <v>475545.09</v>
          </cell>
        </row>
        <row r="68">
          <cell r="AR68">
            <v>1136070.86</v>
          </cell>
        </row>
        <row r="69">
          <cell r="AR69">
            <v>1473229.98</v>
          </cell>
        </row>
        <row r="70">
          <cell r="AR70">
            <v>-38402.06</v>
          </cell>
        </row>
        <row r="71">
          <cell r="AR71">
            <v>0</v>
          </cell>
        </row>
        <row r="72">
          <cell r="AR72">
            <v>0</v>
          </cell>
        </row>
        <row r="73">
          <cell r="AR73">
            <v>0</v>
          </cell>
        </row>
        <row r="74">
          <cell r="AR74">
            <v>3568.933942996875</v>
          </cell>
        </row>
        <row r="75">
          <cell r="AR75">
            <v>6009672.4399999995</v>
          </cell>
        </row>
        <row r="76">
          <cell r="AR76">
            <v>5783302.47</v>
          </cell>
        </row>
        <row r="77">
          <cell r="AR77">
            <v>2425585.4910000004</v>
          </cell>
        </row>
        <row r="78">
          <cell r="AR78">
            <v>5994220.9</v>
          </cell>
        </row>
        <row r="79">
          <cell r="AR79">
            <v>6019292.68</v>
          </cell>
        </row>
        <row r="80">
          <cell r="AR80">
            <v>399896.6</v>
          </cell>
        </row>
        <row r="81">
          <cell r="AR81">
            <v>0</v>
          </cell>
        </row>
        <row r="82">
          <cell r="AR82">
            <v>0</v>
          </cell>
        </row>
        <row r="83">
          <cell r="AR83">
            <v>0</v>
          </cell>
        </row>
        <row r="84">
          <cell r="AR84">
            <v>0</v>
          </cell>
        </row>
        <row r="85">
          <cell r="AR85">
            <v>0</v>
          </cell>
        </row>
        <row r="86">
          <cell r="AR86">
            <v>0</v>
          </cell>
        </row>
        <row r="87">
          <cell r="AR87">
            <v>0</v>
          </cell>
        </row>
        <row r="88">
          <cell r="AR88">
            <v>156</v>
          </cell>
        </row>
        <row r="89">
          <cell r="AR89">
            <v>10</v>
          </cell>
        </row>
        <row r="90">
          <cell r="AR90">
            <v>405318</v>
          </cell>
        </row>
        <row r="96">
          <cell r="AR96">
            <v>10600103.730999999</v>
          </cell>
        </row>
        <row r="97">
          <cell r="AR97">
            <v>845645</v>
          </cell>
        </row>
        <row r="98">
          <cell r="AR98">
            <v>451622</v>
          </cell>
        </row>
        <row r="99">
          <cell r="AR99">
            <v>224924.73000000004</v>
          </cell>
        </row>
        <row r="100">
          <cell r="AR100">
            <v>0</v>
          </cell>
        </row>
        <row r="101">
          <cell r="AR101">
            <v>0</v>
          </cell>
        </row>
        <row r="102">
          <cell r="AR102">
            <v>0</v>
          </cell>
        </row>
        <row r="103">
          <cell r="AR103">
            <v>0</v>
          </cell>
        </row>
        <row r="104">
          <cell r="AR104">
            <v>0</v>
          </cell>
        </row>
        <row r="105">
          <cell r="AR105">
            <v>0</v>
          </cell>
        </row>
        <row r="106">
          <cell r="AR106">
            <v>0</v>
          </cell>
        </row>
        <row r="107">
          <cell r="AR107">
            <v>4871534.350000001</v>
          </cell>
        </row>
        <row r="108">
          <cell r="AR108">
            <v>2854158</v>
          </cell>
        </row>
        <row r="109">
          <cell r="AR109">
            <v>881936</v>
          </cell>
        </row>
        <row r="110">
          <cell r="AR110">
            <v>108706.67999999996</v>
          </cell>
        </row>
        <row r="111">
          <cell r="AR111">
            <v>14787</v>
          </cell>
        </row>
        <row r="112">
          <cell r="AR112">
            <v>9743</v>
          </cell>
        </row>
        <row r="113">
          <cell r="AR113">
            <v>5044</v>
          </cell>
        </row>
        <row r="114">
          <cell r="AR114">
            <v>0</v>
          </cell>
        </row>
        <row r="115">
          <cell r="AR115">
            <v>0</v>
          </cell>
        </row>
        <row r="116">
          <cell r="AR116">
            <v>0</v>
          </cell>
        </row>
        <row r="117">
          <cell r="AR117">
            <v>0</v>
          </cell>
        </row>
        <row r="118">
          <cell r="AR118">
            <v>201972</v>
          </cell>
        </row>
        <row r="119">
          <cell r="AR119">
            <v>630109.6700000002</v>
          </cell>
        </row>
        <row r="120">
          <cell r="AR120">
            <v>310027.13999999996</v>
          </cell>
        </row>
        <row r="121">
          <cell r="AR121">
            <v>259766.33000000002</v>
          </cell>
        </row>
        <row r="122">
          <cell r="AR122">
            <v>60316.2</v>
          </cell>
        </row>
        <row r="123">
          <cell r="AR123">
            <v>0</v>
          </cell>
        </row>
        <row r="124">
          <cell r="AR124">
            <v>0</v>
          </cell>
        </row>
        <row r="125">
          <cell r="AR125">
            <v>0</v>
          </cell>
        </row>
        <row r="126">
          <cell r="AR126">
            <v>0</v>
          </cell>
        </row>
        <row r="127">
          <cell r="AR127">
            <v>0</v>
          </cell>
        </row>
        <row r="128">
          <cell r="AR128">
            <v>0</v>
          </cell>
        </row>
        <row r="129">
          <cell r="AR129">
            <v>0</v>
          </cell>
        </row>
        <row r="130">
          <cell r="AR130">
            <v>179865</v>
          </cell>
        </row>
        <row r="131">
          <cell r="AR131">
            <v>14560</v>
          </cell>
        </row>
        <row r="132">
          <cell r="AR132">
            <v>43897</v>
          </cell>
        </row>
        <row r="133">
          <cell r="AR133">
            <v>27844</v>
          </cell>
        </row>
        <row r="134">
          <cell r="AR134">
            <v>9059</v>
          </cell>
        </row>
        <row r="135">
          <cell r="AR135">
            <v>84505</v>
          </cell>
        </row>
        <row r="136">
          <cell r="AR136">
            <v>116493.65999999999</v>
          </cell>
        </row>
        <row r="137">
          <cell r="AR137">
            <v>202653.06999999995</v>
          </cell>
        </row>
        <row r="138">
          <cell r="AR138">
            <v>1276944</v>
          </cell>
        </row>
        <row r="139">
          <cell r="AR139">
            <v>4882.469999999999</v>
          </cell>
        </row>
        <row r="140">
          <cell r="AR140">
            <v>2548586.451</v>
          </cell>
        </row>
        <row r="141">
          <cell r="AR141">
            <v>735514.4510000001</v>
          </cell>
        </row>
        <row r="142">
          <cell r="AR142">
            <v>56818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43">
      <selection activeCell="B88" sqref="B88"/>
    </sheetView>
  </sheetViews>
  <sheetFormatPr defaultColWidth="9.140625" defaultRowHeight="15"/>
  <cols>
    <col min="1" max="1" width="5.8515625" style="2" customWidth="1"/>
    <col min="2" max="2" width="60.421875" style="3" customWidth="1"/>
    <col min="3" max="3" width="7.28125" style="1" customWidth="1"/>
    <col min="4" max="4" width="25.140625" style="66" customWidth="1"/>
    <col min="5" max="16384" width="9.140625" style="1" customWidth="1"/>
  </cols>
  <sheetData>
    <row r="1" spans="1:4" ht="16.5" customHeight="1">
      <c r="A1" s="102" t="s">
        <v>0</v>
      </c>
      <c r="B1" s="102"/>
      <c r="C1" s="102"/>
      <c r="D1" s="102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7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87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87">
        <v>42369</v>
      </c>
    </row>
    <row r="7" spans="1:4" s="9" customFormat="1" ht="29.25" customHeight="1">
      <c r="A7" s="103" t="s">
        <v>13</v>
      </c>
      <c r="B7" s="103"/>
      <c r="C7" s="103"/>
      <c r="D7" s="103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8">
        <v>106190.29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8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8">
        <f>D8</f>
        <v>106190.29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756030.36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731503.13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731503.13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731503.13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130717.52000000002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130717.52000000002</v>
      </c>
    </row>
    <row r="25" spans="1:4" s="9" customFormat="1" ht="29.25" customHeight="1">
      <c r="A25" s="101" t="s">
        <v>49</v>
      </c>
      <c r="B25" s="101"/>
      <c r="C25" s="101"/>
      <c r="D25" s="101"/>
    </row>
    <row r="26" spans="1:4" s="9" customFormat="1" ht="16.5" customHeight="1">
      <c r="A26" s="6"/>
      <c r="B26" s="7" t="s">
        <v>50</v>
      </c>
      <c r="C26" s="18"/>
      <c r="D26" s="69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51.75" customHeight="1">
      <c r="A31" s="19" t="s">
        <v>59</v>
      </c>
      <c r="B31" s="16" t="s">
        <v>52</v>
      </c>
      <c r="C31" s="8" t="s">
        <v>7</v>
      </c>
      <c r="D31" s="70" t="s">
        <v>230</v>
      </c>
    </row>
    <row r="32" spans="1:4" s="9" customFormat="1" ht="51">
      <c r="A32" s="19" t="s">
        <v>60</v>
      </c>
      <c r="B32" s="16" t="s">
        <v>55</v>
      </c>
      <c r="C32" s="8" t="s">
        <v>7</v>
      </c>
      <c r="D32" s="70" t="s">
        <v>259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70" t="s">
        <v>231</v>
      </c>
    </row>
    <row r="34" spans="1:4" s="9" customFormat="1" ht="16.5" customHeight="1">
      <c r="A34" s="101" t="s">
        <v>62</v>
      </c>
      <c r="B34" s="101"/>
      <c r="C34" s="101"/>
      <c r="D34" s="101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01" t="s">
        <v>72</v>
      </c>
      <c r="B39" s="101"/>
      <c r="C39" s="101"/>
      <c r="D39" s="101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70836.22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70836.22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D52+D72+D82</f>
        <v>58074.08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D43</f>
        <v>58074.08</v>
      </c>
    </row>
    <row r="46" spans="1:4" s="9" customFormat="1" ht="15" customHeight="1">
      <c r="A46" s="101" t="s">
        <v>81</v>
      </c>
      <c r="B46" s="101"/>
      <c r="C46" s="101"/>
      <c r="D46" s="101"/>
    </row>
    <row r="47" spans="1:4" s="9" customFormat="1" ht="28.5">
      <c r="A47" s="6" t="s">
        <v>82</v>
      </c>
      <c r="B47" s="16" t="s">
        <v>83</v>
      </c>
      <c r="C47" s="8" t="s">
        <v>7</v>
      </c>
      <c r="D47" s="71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8786.211655874191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237447.37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240230.8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12666.01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159246.98+76300.8</f>
        <v>235547.78000000003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f>193477.85+52123.3</f>
        <v>245601.15000000002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f>-8590.26+37320.74</f>
        <v>28730.479999999996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13.5" customHeight="1">
      <c r="A57" s="6" t="s">
        <v>82</v>
      </c>
      <c r="B57" s="16" t="s">
        <v>83</v>
      </c>
      <c r="C57" s="8" t="s">
        <v>7</v>
      </c>
      <c r="D57" s="71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71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</f>
        <v>8786.211655874191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131828.17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133373.5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7032.03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86125.7+45702.25</f>
        <v>131827.95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f>144382.47+30325.4</f>
        <v>174707.87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f>-5078.49+21713.25</f>
        <v>16634.760000000002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71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v>432.85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v>719428.54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727861.91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v>38376.04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f>491839.56+194659.98</f>
        <v>686499.54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f>501317.1+147215.01</f>
        <v>648532.11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f>23364.08+74435.05</f>
        <v>97799.13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101" t="s">
        <v>138</v>
      </c>
      <c r="B87" s="101"/>
      <c r="C87" s="101"/>
      <c r="D87" s="101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01" t="s">
        <v>143</v>
      </c>
      <c r="B92" s="101"/>
      <c r="C92" s="101"/>
      <c r="D92" s="101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88">
        <v>4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88">
        <v>1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22111</v>
      </c>
    </row>
    <row r="99" spans="1:2" ht="15" customHeight="1" hidden="1">
      <c r="A99" s="25" t="s">
        <v>150</v>
      </c>
      <c r="B99" s="26" t="s">
        <v>151</v>
      </c>
    </row>
    <row r="100" ht="15" customHeight="1" hidden="1"/>
    <row r="101" spans="1:4" ht="25.5" customHeight="1" hidden="1">
      <c r="A101" s="27" t="s">
        <v>1</v>
      </c>
      <c r="B101" s="28" t="s">
        <v>152</v>
      </c>
      <c r="C101" s="27"/>
      <c r="D101" s="72" t="s">
        <v>153</v>
      </c>
    </row>
    <row r="102" spans="1:4" ht="15.75" customHeight="1" hidden="1">
      <c r="A102" s="27"/>
      <c r="B102" s="29" t="s">
        <v>154</v>
      </c>
      <c r="C102" s="30"/>
      <c r="D102" s="31">
        <f>D103+D104+D105+D106+D107+D113+D142+D143+D144+D145+D146+D148</f>
        <v>695652.3535</v>
      </c>
    </row>
    <row r="103" spans="1:4" ht="15" customHeight="1" hidden="1">
      <c r="A103" s="27">
        <v>1</v>
      </c>
      <c r="B103" s="32" t="s">
        <v>155</v>
      </c>
      <c r="C103" s="33"/>
      <c r="D103" s="34">
        <v>98609</v>
      </c>
    </row>
    <row r="104" spans="1:4" ht="15" customHeight="1" hidden="1">
      <c r="A104" s="27">
        <f>SUM(A103)+1</f>
        <v>2</v>
      </c>
      <c r="B104" s="32" t="s">
        <v>156</v>
      </c>
      <c r="C104" s="33"/>
      <c r="D104" s="34">
        <v>52568</v>
      </c>
    </row>
    <row r="105" spans="1:4" ht="15" customHeight="1" hidden="1">
      <c r="A105" s="35">
        <f>SUM(A104)+1</f>
        <v>3</v>
      </c>
      <c r="B105" s="36" t="s">
        <v>157</v>
      </c>
      <c r="C105" s="37"/>
      <c r="D105" s="38">
        <v>9651.42</v>
      </c>
    </row>
    <row r="106" spans="1:4" ht="15" customHeight="1" hidden="1">
      <c r="A106" s="27">
        <f>SUM(A105)+1</f>
        <v>4</v>
      </c>
      <c r="B106" s="32" t="s">
        <v>158</v>
      </c>
      <c r="C106" s="37"/>
      <c r="D106" s="34">
        <v>0</v>
      </c>
    </row>
    <row r="107" spans="1:4" ht="15" customHeight="1" hidden="1">
      <c r="A107" s="27">
        <f>SUM(A106)+1</f>
        <v>5</v>
      </c>
      <c r="B107" s="32" t="s">
        <v>159</v>
      </c>
      <c r="C107" s="37"/>
      <c r="D107" s="34">
        <f>SUM(D109:D112)</f>
        <v>0</v>
      </c>
    </row>
    <row r="108" spans="1:4" ht="15" customHeight="1" hidden="1">
      <c r="A108" s="27" t="s">
        <v>7</v>
      </c>
      <c r="B108" s="40" t="s">
        <v>160</v>
      </c>
      <c r="C108" s="37"/>
      <c r="D108" s="34"/>
    </row>
    <row r="109" spans="1:4" ht="15" customHeight="1" hidden="1">
      <c r="A109" s="27"/>
      <c r="B109" s="41" t="s">
        <v>161</v>
      </c>
      <c r="C109" s="37"/>
      <c r="D109" s="34"/>
    </row>
    <row r="110" spans="1:4" ht="15" customHeight="1" hidden="1">
      <c r="A110" s="27"/>
      <c r="B110" s="41" t="s">
        <v>162</v>
      </c>
      <c r="C110" s="37"/>
      <c r="D110" s="34"/>
    </row>
    <row r="111" spans="1:4" ht="15" customHeight="1" hidden="1">
      <c r="A111" s="27" t="s">
        <v>7</v>
      </c>
      <c r="B111" s="42" t="s">
        <v>163</v>
      </c>
      <c r="C111" s="37"/>
      <c r="D111" s="34"/>
    </row>
    <row r="112" spans="1:4" ht="15" customHeight="1" hidden="1">
      <c r="A112" s="43" t="s">
        <v>7</v>
      </c>
      <c r="B112" s="44" t="s">
        <v>185</v>
      </c>
      <c r="C112" s="45"/>
      <c r="D112" s="73"/>
    </row>
    <row r="113" spans="1:4" ht="60" customHeight="1" hidden="1">
      <c r="A113" s="27">
        <f>SUM(A107)+1</f>
        <v>6</v>
      </c>
      <c r="B113" s="47" t="s">
        <v>164</v>
      </c>
      <c r="C113" s="48"/>
      <c r="D113" s="34">
        <f>D114+D115+D116+D117+D124+D125+D136</f>
        <v>192889.57</v>
      </c>
    </row>
    <row r="114" spans="1:4" ht="45" customHeight="1" hidden="1">
      <c r="A114" s="49" t="s">
        <v>7</v>
      </c>
      <c r="B114" s="50" t="s">
        <v>165</v>
      </c>
      <c r="C114" s="51"/>
      <c r="D114" s="52">
        <v>84764</v>
      </c>
    </row>
    <row r="115" spans="1:4" ht="15" customHeight="1" hidden="1">
      <c r="A115" s="53" t="s">
        <v>7</v>
      </c>
      <c r="B115" s="54" t="s">
        <v>166</v>
      </c>
      <c r="C115" s="37"/>
      <c r="D115" s="34">
        <v>26192</v>
      </c>
    </row>
    <row r="116" spans="1:4" ht="15" customHeight="1" hidden="1">
      <c r="A116" s="53" t="s">
        <v>7</v>
      </c>
      <c r="B116" s="54" t="s">
        <v>167</v>
      </c>
      <c r="C116" s="37"/>
      <c r="D116" s="34"/>
    </row>
    <row r="117" spans="1:4" ht="15" customHeight="1" hidden="1">
      <c r="A117" s="53" t="s">
        <v>7</v>
      </c>
      <c r="B117" s="54" t="s">
        <v>168</v>
      </c>
      <c r="C117" s="37"/>
      <c r="D117" s="34">
        <f>SUM(D118:D123)</f>
        <v>901</v>
      </c>
    </row>
    <row r="118" spans="1:4" ht="15" customHeight="1" hidden="1">
      <c r="A118" s="53"/>
      <c r="B118" s="54" t="s">
        <v>207</v>
      </c>
      <c r="C118" s="37"/>
      <c r="D118" s="34">
        <v>901</v>
      </c>
    </row>
    <row r="119" spans="1:4" ht="15" customHeight="1" hidden="1">
      <c r="A119" s="53"/>
      <c r="B119" s="54"/>
      <c r="C119" s="37"/>
      <c r="D119" s="34"/>
    </row>
    <row r="120" spans="1:4" ht="15" customHeight="1" hidden="1">
      <c r="A120" s="53"/>
      <c r="B120" s="54"/>
      <c r="C120" s="37"/>
      <c r="D120" s="34"/>
    </row>
    <row r="121" spans="1:4" ht="15" customHeight="1" hidden="1">
      <c r="A121" s="53"/>
      <c r="B121" s="54"/>
      <c r="C121" s="37"/>
      <c r="D121" s="34"/>
    </row>
    <row r="122" spans="1:4" ht="15" customHeight="1" hidden="1">
      <c r="A122" s="53"/>
      <c r="B122" s="54"/>
      <c r="C122" s="37"/>
      <c r="D122" s="34"/>
    </row>
    <row r="123" spans="1:4" ht="15" customHeight="1" hidden="1">
      <c r="A123" s="53"/>
      <c r="B123" s="54"/>
      <c r="C123" s="37"/>
      <c r="D123" s="34"/>
    </row>
    <row r="124" spans="1:4" ht="15" customHeight="1" hidden="1">
      <c r="A124" s="53" t="s">
        <v>7</v>
      </c>
      <c r="B124" s="54" t="s">
        <v>169</v>
      </c>
      <c r="C124" s="37"/>
      <c r="D124" s="34">
        <v>17113</v>
      </c>
    </row>
    <row r="125" spans="1:4" ht="15" customHeight="1" hidden="1">
      <c r="A125" s="53" t="s">
        <v>7</v>
      </c>
      <c r="B125" s="54" t="s">
        <v>170</v>
      </c>
      <c r="C125" s="37"/>
      <c r="D125" s="34">
        <f>SUM(D126:D135)</f>
        <v>53960.56999999999</v>
      </c>
    </row>
    <row r="126" spans="1:4" ht="15" customHeight="1" hidden="1">
      <c r="A126" s="53"/>
      <c r="B126" s="54" t="s">
        <v>227</v>
      </c>
      <c r="C126" s="37"/>
      <c r="D126" s="34">
        <v>11135.48</v>
      </c>
    </row>
    <row r="127" spans="1:4" ht="15" customHeight="1" hidden="1">
      <c r="A127" s="53"/>
      <c r="B127" s="54" t="s">
        <v>209</v>
      </c>
      <c r="C127" s="37"/>
      <c r="D127" s="34">
        <v>42825.09</v>
      </c>
    </row>
    <row r="128" spans="1:4" ht="15" customHeight="1" hidden="1">
      <c r="A128" s="53"/>
      <c r="B128" s="54"/>
      <c r="C128" s="37"/>
      <c r="D128" s="34"/>
    </row>
    <row r="129" spans="1:4" ht="15" customHeight="1" hidden="1">
      <c r="A129" s="53"/>
      <c r="B129" s="54"/>
      <c r="C129" s="37"/>
      <c r="D129" s="34"/>
    </row>
    <row r="130" spans="1:4" ht="15" customHeight="1" hidden="1">
      <c r="A130" s="53"/>
      <c r="B130" s="54"/>
      <c r="C130" s="37"/>
      <c r="D130" s="34"/>
    </row>
    <row r="131" spans="1:4" ht="15" customHeight="1" hidden="1">
      <c r="A131" s="53"/>
      <c r="B131" s="54"/>
      <c r="C131" s="37"/>
      <c r="D131" s="34"/>
    </row>
    <row r="132" spans="1:4" ht="15" customHeight="1" hidden="1">
      <c r="A132" s="53"/>
      <c r="B132" s="54"/>
      <c r="C132" s="37"/>
      <c r="D132" s="34"/>
    </row>
    <row r="133" spans="1:4" ht="15" customHeight="1" hidden="1">
      <c r="A133" s="53"/>
      <c r="B133" s="54"/>
      <c r="C133" s="37"/>
      <c r="D133" s="34"/>
    </row>
    <row r="134" spans="1:4" ht="15" customHeight="1" hidden="1">
      <c r="A134" s="53"/>
      <c r="B134" s="54"/>
      <c r="C134" s="37"/>
      <c r="D134" s="34"/>
    </row>
    <row r="135" spans="1:4" ht="15" customHeight="1" hidden="1">
      <c r="A135" s="53"/>
      <c r="B135" s="54"/>
      <c r="C135" s="37"/>
      <c r="D135" s="34"/>
    </row>
    <row r="136" spans="1:4" ht="15" customHeight="1" hidden="1">
      <c r="A136" s="53" t="s">
        <v>7</v>
      </c>
      <c r="B136" s="55" t="s">
        <v>171</v>
      </c>
      <c r="C136" s="37"/>
      <c r="D136" s="34">
        <f>SUM(D137:D141)</f>
        <v>9959</v>
      </c>
    </row>
    <row r="137" spans="1:4" ht="15" customHeight="1" hidden="1">
      <c r="A137" s="53"/>
      <c r="B137" s="56" t="s">
        <v>172</v>
      </c>
      <c r="C137" s="37"/>
      <c r="D137" s="34">
        <v>1234</v>
      </c>
    </row>
    <row r="138" spans="1:4" ht="15" customHeight="1" hidden="1">
      <c r="A138" s="53"/>
      <c r="B138" s="56" t="s">
        <v>173</v>
      </c>
      <c r="C138" s="37"/>
      <c r="D138" s="34">
        <v>3720</v>
      </c>
    </row>
    <row r="139" spans="1:4" ht="15" customHeight="1" hidden="1">
      <c r="A139" s="53"/>
      <c r="B139" s="56" t="s">
        <v>174</v>
      </c>
      <c r="C139" s="37"/>
      <c r="D139" s="34">
        <v>2143</v>
      </c>
    </row>
    <row r="140" spans="1:4" ht="15" customHeight="1" hidden="1">
      <c r="A140" s="53"/>
      <c r="B140" s="56" t="s">
        <v>175</v>
      </c>
      <c r="C140" s="37"/>
      <c r="D140" s="34">
        <v>796</v>
      </c>
    </row>
    <row r="141" spans="1:4" ht="15" customHeight="1" hidden="1">
      <c r="A141" s="53"/>
      <c r="B141" s="56" t="s">
        <v>176</v>
      </c>
      <c r="C141" s="37"/>
      <c r="D141" s="34">
        <v>2066</v>
      </c>
    </row>
    <row r="142" spans="1:4" ht="15" customHeight="1" hidden="1">
      <c r="A142" s="27">
        <v>7</v>
      </c>
      <c r="B142" s="32" t="s">
        <v>177</v>
      </c>
      <c r="C142" s="57"/>
      <c r="D142" s="58"/>
    </row>
    <row r="143" spans="1:4" ht="15" customHeight="1" hidden="1">
      <c r="A143" s="27">
        <f>SUM(A142)+1</f>
        <v>8</v>
      </c>
      <c r="B143" s="32" t="s">
        <v>178</v>
      </c>
      <c r="C143" s="57"/>
      <c r="D143" s="34">
        <v>19851.9</v>
      </c>
    </row>
    <row r="144" spans="1:4" ht="15" customHeight="1" hidden="1">
      <c r="A144" s="27">
        <f>SUM(A143)+1</f>
        <v>9</v>
      </c>
      <c r="B144" s="32" t="s">
        <v>179</v>
      </c>
      <c r="C144" s="37"/>
      <c r="D144" s="34">
        <v>108197</v>
      </c>
    </row>
    <row r="145" spans="1:4" ht="15" customHeight="1" hidden="1">
      <c r="A145" s="35">
        <f>SUM(A144)+1</f>
        <v>10</v>
      </c>
      <c r="B145" s="36" t="s">
        <v>180</v>
      </c>
      <c r="C145" s="37"/>
      <c r="D145" s="34">
        <v>1150.77</v>
      </c>
    </row>
    <row r="146" spans="1:4" ht="15" customHeight="1" hidden="1">
      <c r="A146" s="27">
        <v>11</v>
      </c>
      <c r="B146" s="32" t="s">
        <v>181</v>
      </c>
      <c r="C146" s="33"/>
      <c r="D146" s="34">
        <f>D147+6920+55598+74321</f>
        <v>207920.6935</v>
      </c>
    </row>
    <row r="147" spans="1:4" ht="30" customHeight="1" hidden="1">
      <c r="A147" s="28" t="s">
        <v>182</v>
      </c>
      <c r="B147" s="59" t="s">
        <v>183</v>
      </c>
      <c r="C147" s="60"/>
      <c r="D147" s="64">
        <f>56*78.5*12+(731503.13+1101466.22)*0.01</f>
        <v>71081.6935</v>
      </c>
    </row>
    <row r="148" spans="1:4" ht="30" customHeight="1" hidden="1">
      <c r="A148" s="61">
        <v>12</v>
      </c>
      <c r="B148" s="62" t="s">
        <v>184</v>
      </c>
      <c r="C148" s="33"/>
      <c r="D148" s="34">
        <v>4814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1">
      <selection activeCell="B12" sqref="B12"/>
    </sheetView>
  </sheetViews>
  <sheetFormatPr defaultColWidth="9.140625" defaultRowHeight="15"/>
  <cols>
    <col min="1" max="1" width="5.8515625" style="2" customWidth="1"/>
    <col min="2" max="2" width="58.28125" style="3" customWidth="1"/>
    <col min="3" max="3" width="8.28125" style="1" customWidth="1"/>
    <col min="4" max="4" width="25.7109375" style="66" customWidth="1"/>
    <col min="5" max="16384" width="9.140625" style="1" customWidth="1"/>
  </cols>
  <sheetData>
    <row r="1" spans="1:4" ht="16.5" customHeight="1">
      <c r="A1" s="102" t="s">
        <v>0</v>
      </c>
      <c r="B1" s="102"/>
      <c r="C1" s="102"/>
      <c r="D1" s="102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7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87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87">
        <v>42369</v>
      </c>
    </row>
    <row r="7" spans="1:4" s="9" customFormat="1" ht="29.25" customHeight="1">
      <c r="A7" s="103" t="s">
        <v>13</v>
      </c>
      <c r="B7" s="103"/>
      <c r="C7" s="103"/>
      <c r="D7" s="103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8">
        <f>338366.5+292995.03</f>
        <v>631361.53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8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8">
        <f>D8</f>
        <v>631361.53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f>1882436.58+302898.72</f>
        <v>2185335.3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f>1771576.32+128293.38</f>
        <v>1899869.7000000002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1899869.7000000002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1899869.7000000002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916827.1299999999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403855.29+512971.84</f>
        <v>916827.13</v>
      </c>
    </row>
    <row r="25" spans="1:4" s="9" customFormat="1" ht="29.25" customHeight="1">
      <c r="A25" s="101" t="s">
        <v>49</v>
      </c>
      <c r="B25" s="101"/>
      <c r="C25" s="101"/>
      <c r="D25" s="101"/>
    </row>
    <row r="26" spans="1:4" s="9" customFormat="1" ht="16.5" customHeight="1">
      <c r="A26" s="6"/>
      <c r="B26" s="7" t="s">
        <v>50</v>
      </c>
      <c r="C26" s="18"/>
      <c r="D26" s="69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81" customHeight="1">
      <c r="A31" s="19" t="s">
        <v>59</v>
      </c>
      <c r="B31" s="16" t="s">
        <v>52</v>
      </c>
      <c r="C31" s="8" t="s">
        <v>7</v>
      </c>
      <c r="D31" s="70" t="s">
        <v>240</v>
      </c>
    </row>
    <row r="32" spans="1:4" s="9" customFormat="1" ht="76.5">
      <c r="A32" s="19" t="s">
        <v>60</v>
      </c>
      <c r="B32" s="16" t="s">
        <v>55</v>
      </c>
      <c r="C32" s="8" t="s">
        <v>7</v>
      </c>
      <c r="D32" s="70" t="s">
        <v>262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70" t="s">
        <v>231</v>
      </c>
    </row>
    <row r="34" spans="1:4" s="9" customFormat="1" ht="16.5" customHeight="1">
      <c r="A34" s="101" t="s">
        <v>62</v>
      </c>
      <c r="B34" s="101"/>
      <c r="C34" s="101"/>
      <c r="D34" s="101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01" t="s">
        <v>72</v>
      </c>
      <c r="B39" s="101"/>
      <c r="C39" s="101"/>
      <c r="D39" s="101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0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v>0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202953.29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D52+D72+D82</f>
        <v>202953.29</v>
      </c>
    </row>
    <row r="46" spans="1:4" s="9" customFormat="1" ht="15" customHeight="1">
      <c r="A46" s="101" t="s">
        <v>81</v>
      </c>
      <c r="B46" s="101"/>
      <c r="C46" s="101"/>
      <c r="D46" s="101"/>
    </row>
    <row r="47" spans="1:4" s="9" customFormat="1" ht="28.5">
      <c r="A47" s="6" t="s">
        <v>82</v>
      </c>
      <c r="B47" s="16" t="s">
        <v>83</v>
      </c>
      <c r="C47" s="8" t="s">
        <v>7</v>
      </c>
      <c r="D47" s="71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D50/28.07</f>
        <v>8595.338795867474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241271.16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204840.11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36431.05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241271.16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293133.5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-13014.88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15">
      <c r="A57" s="6" t="s">
        <v>82</v>
      </c>
      <c r="B57" s="16" t="s">
        <v>83</v>
      </c>
      <c r="C57" s="8" t="s">
        <v>7</v>
      </c>
      <c r="D57" s="71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71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</f>
        <v>8595.338795867474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132369.84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112382.48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19987.36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132369.84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175798.74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-7805.32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71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D80/1734.01</f>
        <v>559.6584679442449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v>970453.38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823918.5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v>146534.88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f>D80</f>
        <v>970453.38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989153.61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46099.89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101" t="s">
        <v>138</v>
      </c>
      <c r="B87" s="101"/>
      <c r="C87" s="101"/>
      <c r="D87" s="101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01" t="s">
        <v>143</v>
      </c>
      <c r="B92" s="101"/>
      <c r="C92" s="101"/>
      <c r="D92" s="101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88">
        <v>14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88">
        <v>1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31904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72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2294752.9041</v>
      </c>
    </row>
    <row r="103" spans="1:4" ht="15" hidden="1">
      <c r="A103" s="27">
        <v>1</v>
      </c>
      <c r="B103" s="32" t="s">
        <v>155</v>
      </c>
      <c r="C103" s="33"/>
      <c r="D103" s="34">
        <v>249549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133035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96319.9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0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0</v>
      </c>
    </row>
    <row r="108" spans="1:4" ht="15" hidden="1">
      <c r="A108" s="27" t="s">
        <v>7</v>
      </c>
      <c r="B108" s="40" t="s">
        <v>160</v>
      </c>
      <c r="C108" s="37"/>
      <c r="D108" s="34"/>
    </row>
    <row r="109" spans="1:4" ht="15" hidden="1">
      <c r="A109" s="27"/>
      <c r="B109" s="41" t="s">
        <v>161</v>
      </c>
      <c r="C109" s="37"/>
      <c r="D109" s="34"/>
    </row>
    <row r="110" spans="1:4" ht="15" hidden="1">
      <c r="A110" s="27"/>
      <c r="B110" s="41" t="s">
        <v>162</v>
      </c>
      <c r="C110" s="37"/>
      <c r="D110" s="34"/>
    </row>
    <row r="111" spans="1:4" ht="15" hidden="1">
      <c r="A111" s="27" t="s">
        <v>7</v>
      </c>
      <c r="B111" s="42" t="s">
        <v>163</v>
      </c>
      <c r="C111" s="37"/>
      <c r="D111" s="34"/>
    </row>
    <row r="112" spans="1:4" ht="15" hidden="1">
      <c r="A112" s="43" t="s">
        <v>7</v>
      </c>
      <c r="B112" s="44" t="s">
        <v>185</v>
      </c>
      <c r="C112" s="45"/>
      <c r="D112" s="73"/>
    </row>
    <row r="113" spans="1:4" ht="60" hidden="1">
      <c r="A113" s="27">
        <f>SUM(A107)+1</f>
        <v>6</v>
      </c>
      <c r="B113" s="47" t="s">
        <v>164</v>
      </c>
      <c r="C113" s="48"/>
      <c r="D113" s="34">
        <f>D114+D115+D116+D117+D124+D125+D136</f>
        <v>827182.66</v>
      </c>
    </row>
    <row r="114" spans="1:4" ht="60" hidden="1">
      <c r="A114" s="49" t="s">
        <v>7</v>
      </c>
      <c r="B114" s="50" t="s">
        <v>165</v>
      </c>
      <c r="C114" s="51"/>
      <c r="D114" s="52">
        <v>266044</v>
      </c>
    </row>
    <row r="115" spans="1:4" ht="15" hidden="1">
      <c r="A115" s="53" t="s">
        <v>7</v>
      </c>
      <c r="B115" s="54" t="s">
        <v>166</v>
      </c>
      <c r="C115" s="37"/>
      <c r="D115" s="34">
        <v>82208</v>
      </c>
    </row>
    <row r="116" spans="1:4" ht="15" hidden="1">
      <c r="A116" s="53" t="s">
        <v>7</v>
      </c>
      <c r="B116" s="54" t="s">
        <v>167</v>
      </c>
      <c r="C116" s="37"/>
      <c r="D116" s="34">
        <v>20260.21</v>
      </c>
    </row>
    <row r="117" spans="1:4" ht="15" hidden="1">
      <c r="A117" s="53" t="s">
        <v>7</v>
      </c>
      <c r="B117" s="54" t="s">
        <v>168</v>
      </c>
      <c r="C117" s="37"/>
      <c r="D117" s="34">
        <f>SUM(D118:D123)</f>
        <v>2655</v>
      </c>
    </row>
    <row r="118" spans="1:4" ht="15" hidden="1">
      <c r="A118" s="53"/>
      <c r="B118" s="54" t="s">
        <v>207</v>
      </c>
      <c r="C118" s="37"/>
      <c r="D118" s="34">
        <v>2655</v>
      </c>
    </row>
    <row r="119" spans="1:4" ht="15" hidden="1">
      <c r="A119" s="53"/>
      <c r="B119" s="54"/>
      <c r="C119" s="37"/>
      <c r="D119" s="34"/>
    </row>
    <row r="120" spans="1:4" ht="15" hidden="1">
      <c r="A120" s="53"/>
      <c r="B120" s="54"/>
      <c r="C120" s="37"/>
      <c r="D120" s="34"/>
    </row>
    <row r="121" spans="1:4" ht="15" hidden="1">
      <c r="A121" s="53"/>
      <c r="B121" s="54"/>
      <c r="C121" s="37"/>
      <c r="D121" s="34"/>
    </row>
    <row r="122" spans="1:4" ht="15" hidden="1">
      <c r="A122" s="53"/>
      <c r="B122" s="54"/>
      <c r="C122" s="37"/>
      <c r="D122" s="34"/>
    </row>
    <row r="123" spans="1:4" ht="15" hidden="1">
      <c r="A123" s="53"/>
      <c r="B123" s="54"/>
      <c r="C123" s="37"/>
      <c r="D123" s="34"/>
    </row>
    <row r="124" spans="1:4" ht="15" hidden="1">
      <c r="A124" s="53" t="s">
        <v>7</v>
      </c>
      <c r="B124" s="54" t="s">
        <v>169</v>
      </c>
      <c r="C124" s="37"/>
      <c r="D124" s="34">
        <v>50434</v>
      </c>
    </row>
    <row r="125" spans="1:4" ht="15" hidden="1">
      <c r="A125" s="53" t="s">
        <v>7</v>
      </c>
      <c r="B125" s="54" t="s">
        <v>170</v>
      </c>
      <c r="C125" s="37"/>
      <c r="D125" s="34">
        <f>SUM(D126:D135)</f>
        <v>376233.45</v>
      </c>
    </row>
    <row r="126" spans="1:4" ht="15" hidden="1">
      <c r="A126" s="53"/>
      <c r="B126" s="54" t="s">
        <v>186</v>
      </c>
      <c r="C126" s="37"/>
      <c r="D126" s="34">
        <v>77086</v>
      </c>
    </row>
    <row r="127" spans="1:4" ht="15" hidden="1">
      <c r="A127" s="53"/>
      <c r="B127" s="54" t="s">
        <v>219</v>
      </c>
      <c r="C127" s="37"/>
      <c r="D127" s="34">
        <v>13747.42</v>
      </c>
    </row>
    <row r="128" spans="1:4" ht="15" hidden="1">
      <c r="A128" s="53"/>
      <c r="B128" s="54" t="s">
        <v>222</v>
      </c>
      <c r="C128" s="37"/>
      <c r="D128" s="34">
        <v>124980.69</v>
      </c>
    </row>
    <row r="129" spans="1:4" ht="15" hidden="1">
      <c r="A129" s="53"/>
      <c r="B129" s="54" t="s">
        <v>217</v>
      </c>
      <c r="C129" s="37"/>
      <c r="D129" s="34">
        <v>121756.73</v>
      </c>
    </row>
    <row r="130" spans="1:4" ht="15" hidden="1">
      <c r="A130" s="53"/>
      <c r="B130" s="54" t="s">
        <v>214</v>
      </c>
      <c r="C130" s="37"/>
      <c r="D130" s="34">
        <v>25462.58</v>
      </c>
    </row>
    <row r="131" spans="1:4" ht="15" hidden="1">
      <c r="A131" s="53"/>
      <c r="B131" s="54" t="s">
        <v>221</v>
      </c>
      <c r="C131" s="37"/>
      <c r="D131" s="34">
        <v>13200.03</v>
      </c>
    </row>
    <row r="132" spans="1:4" ht="15" hidden="1">
      <c r="A132" s="53"/>
      <c r="B132" s="54"/>
      <c r="C132" s="37"/>
      <c r="D132" s="34"/>
    </row>
    <row r="133" spans="1:4" ht="15" hidden="1">
      <c r="A133" s="53"/>
      <c r="B133" s="54"/>
      <c r="C133" s="37"/>
      <c r="D133" s="34"/>
    </row>
    <row r="134" spans="1:4" ht="15" hidden="1">
      <c r="A134" s="53"/>
      <c r="B134" s="54"/>
      <c r="C134" s="37"/>
      <c r="D134" s="34"/>
    </row>
    <row r="135" spans="1:4" ht="15" hidden="1">
      <c r="A135" s="53"/>
      <c r="B135" s="54"/>
      <c r="C135" s="37"/>
      <c r="D135" s="34"/>
    </row>
    <row r="136" spans="1:4" ht="15" hidden="1">
      <c r="A136" s="53" t="s">
        <v>7</v>
      </c>
      <c r="B136" s="55" t="s">
        <v>171</v>
      </c>
      <c r="C136" s="37"/>
      <c r="D136" s="34">
        <f>SUM(D137:D141)</f>
        <v>29348</v>
      </c>
    </row>
    <row r="137" spans="1:4" ht="15" hidden="1">
      <c r="A137" s="53"/>
      <c r="B137" s="56" t="s">
        <v>172</v>
      </c>
      <c r="C137" s="37"/>
      <c r="D137" s="34">
        <v>3636</v>
      </c>
    </row>
    <row r="138" spans="1:4" ht="15" hidden="1">
      <c r="A138" s="53"/>
      <c r="B138" s="56" t="s">
        <v>173</v>
      </c>
      <c r="C138" s="37"/>
      <c r="D138" s="34">
        <v>10962</v>
      </c>
    </row>
    <row r="139" spans="1:4" ht="15" hidden="1">
      <c r="A139" s="53"/>
      <c r="B139" s="56" t="s">
        <v>174</v>
      </c>
      <c r="C139" s="37"/>
      <c r="D139" s="34">
        <v>6315</v>
      </c>
    </row>
    <row r="140" spans="1:4" ht="15" hidden="1">
      <c r="A140" s="53"/>
      <c r="B140" s="56" t="s">
        <v>175</v>
      </c>
      <c r="C140" s="37"/>
      <c r="D140" s="34">
        <v>2347</v>
      </c>
    </row>
    <row r="141" spans="1:4" ht="15" hidden="1">
      <c r="A141" s="53"/>
      <c r="B141" s="56" t="s">
        <v>176</v>
      </c>
      <c r="C141" s="37"/>
      <c r="D141" s="34">
        <v>6088</v>
      </c>
    </row>
    <row r="142" spans="1:4" ht="15" hidden="1">
      <c r="A142" s="27">
        <v>7</v>
      </c>
      <c r="B142" s="32" t="s">
        <v>177</v>
      </c>
      <c r="C142" s="57"/>
      <c r="D142" s="34">
        <v>61311.57</v>
      </c>
    </row>
    <row r="143" spans="1:4" ht="15" hidden="1">
      <c r="A143" s="27">
        <f>SUM(A142)+1</f>
        <v>8</v>
      </c>
      <c r="B143" s="32" t="s">
        <v>178</v>
      </c>
      <c r="C143" s="57"/>
      <c r="D143" s="34">
        <v>47986.69</v>
      </c>
    </row>
    <row r="144" spans="1:4" ht="15" hidden="1">
      <c r="A144" s="27">
        <f>SUM(A143)+1</f>
        <v>9</v>
      </c>
      <c r="B144" s="32" t="s">
        <v>179</v>
      </c>
      <c r="C144" s="37"/>
      <c r="D144" s="34">
        <v>318868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2750.91</v>
      </c>
    </row>
    <row r="146" spans="1:4" ht="15" hidden="1">
      <c r="A146" s="27">
        <v>11</v>
      </c>
      <c r="B146" s="32" t="s">
        <v>181</v>
      </c>
      <c r="C146" s="33"/>
      <c r="D146" s="34">
        <f>D147+20393+163852+219033</f>
        <v>543561.1741</v>
      </c>
    </row>
    <row r="147" spans="1:4" ht="30" hidden="1">
      <c r="A147" s="28" t="s">
        <v>182</v>
      </c>
      <c r="B147" s="59" t="s">
        <v>183</v>
      </c>
      <c r="C147" s="60"/>
      <c r="D147" s="64">
        <f>118*78.5*12+(1771576.32+1141141.09)*0.01</f>
        <v>140283.1741</v>
      </c>
    </row>
    <row r="148" spans="1:4" ht="30" hidden="1">
      <c r="A148" s="61">
        <v>12</v>
      </c>
      <c r="B148" s="62" t="s">
        <v>184</v>
      </c>
      <c r="C148" s="33"/>
      <c r="D148" s="34">
        <v>14188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1">
      <selection activeCell="B11" sqref="B11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8.7109375" style="1" customWidth="1"/>
    <col min="4" max="4" width="25.00390625" style="66" customWidth="1"/>
    <col min="5" max="16384" width="9.140625" style="1" customWidth="1"/>
  </cols>
  <sheetData>
    <row r="1" spans="1:4" ht="16.5" customHeight="1">
      <c r="A1" s="102" t="s">
        <v>0</v>
      </c>
      <c r="B1" s="102"/>
      <c r="C1" s="102"/>
      <c r="D1" s="102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7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87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87">
        <v>42369</v>
      </c>
    </row>
    <row r="7" spans="1:4" s="9" customFormat="1" ht="29.25" customHeight="1">
      <c r="A7" s="103" t="s">
        <v>13</v>
      </c>
      <c r="B7" s="103"/>
      <c r="C7" s="103"/>
      <c r="D7" s="103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8">
        <f>9606.1+344905.72</f>
        <v>354511.81999999995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8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8">
        <f>D8</f>
        <v>354511.81999999995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f>1422544.27+228325.8</f>
        <v>1650870.07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f>234843.64+1428112.06</f>
        <v>1662955.7000000002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1662955.7000000002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D16</f>
        <v>1662955.7000000002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342426.18999999994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3088.26+339337.93</f>
        <v>342426.19</v>
      </c>
    </row>
    <row r="25" spans="1:4" s="9" customFormat="1" ht="29.25" customHeight="1">
      <c r="A25" s="101" t="s">
        <v>49</v>
      </c>
      <c r="B25" s="101"/>
      <c r="C25" s="101"/>
      <c r="D25" s="101"/>
    </row>
    <row r="26" spans="1:4" s="9" customFormat="1" ht="16.5" customHeight="1">
      <c r="A26" s="6"/>
      <c r="B26" s="7" t="s">
        <v>50</v>
      </c>
      <c r="C26" s="18"/>
      <c r="D26" s="69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49.5" customHeight="1">
      <c r="A31" s="19" t="s">
        <v>59</v>
      </c>
      <c r="B31" s="16" t="s">
        <v>52</v>
      </c>
      <c r="C31" s="8" t="s">
        <v>7</v>
      </c>
      <c r="D31" s="70" t="s">
        <v>243</v>
      </c>
    </row>
    <row r="32" spans="1:4" s="9" customFormat="1" ht="76.5">
      <c r="A32" s="19" t="s">
        <v>60</v>
      </c>
      <c r="B32" s="16" t="s">
        <v>55</v>
      </c>
      <c r="C32" s="8" t="s">
        <v>7</v>
      </c>
      <c r="D32" s="70" t="s">
        <v>241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70" t="s">
        <v>231</v>
      </c>
    </row>
    <row r="34" spans="1:4" s="9" customFormat="1" ht="16.5" customHeight="1">
      <c r="A34" s="101" t="s">
        <v>62</v>
      </c>
      <c r="B34" s="101"/>
      <c r="C34" s="101"/>
      <c r="D34" s="101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01" t="s">
        <v>72</v>
      </c>
      <c r="B39" s="101"/>
      <c r="C39" s="101"/>
      <c r="D39" s="101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285808.57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285808.57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D52+D72+D82</f>
        <v>321043.57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v>321043.57</v>
      </c>
    </row>
    <row r="46" spans="1:4" s="9" customFormat="1" ht="15" customHeight="1">
      <c r="A46" s="101" t="s">
        <v>81</v>
      </c>
      <c r="B46" s="101"/>
      <c r="C46" s="101"/>
      <c r="D46" s="101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71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13412.398889916745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362470.08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355997.65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58973.49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362470.08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440384.69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-19552.71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15" customHeight="1">
      <c r="A57" s="6" t="s">
        <v>82</v>
      </c>
      <c r="B57" s="16" t="s">
        <v>83</v>
      </c>
      <c r="C57" s="8" t="s">
        <v>7</v>
      </c>
      <c r="D57" s="71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71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</f>
        <v>13412.398889916745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196990.09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193472.55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32050.08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196990.09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261620.09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-11615.71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71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D80/1673.36</f>
        <v>844.8732191518861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v>1413777.05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1388532.02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v>230020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f>D80</f>
        <v>1413777.05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1441019.95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67159.3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101" t="s">
        <v>138</v>
      </c>
      <c r="B87" s="101"/>
      <c r="C87" s="101"/>
      <c r="D87" s="101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01" t="s">
        <v>143</v>
      </c>
      <c r="B92" s="101"/>
      <c r="C92" s="101"/>
      <c r="D92" s="101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88">
        <v>8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88">
        <v>1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70006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72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1620731.1228</v>
      </c>
    </row>
    <row r="103" spans="1:4" ht="15" hidden="1">
      <c r="A103" s="27">
        <v>1</v>
      </c>
      <c r="B103" s="32" t="s">
        <v>155</v>
      </c>
      <c r="C103" s="33"/>
      <c r="D103" s="34">
        <v>185546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98915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53214.13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0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0</v>
      </c>
    </row>
    <row r="108" spans="1:4" ht="15" hidden="1">
      <c r="A108" s="27" t="s">
        <v>7</v>
      </c>
      <c r="B108" s="40" t="s">
        <v>160</v>
      </c>
      <c r="C108" s="37"/>
      <c r="D108" s="34"/>
    </row>
    <row r="109" spans="1:4" ht="15" hidden="1">
      <c r="A109" s="27"/>
      <c r="B109" s="41" t="s">
        <v>161</v>
      </c>
      <c r="C109" s="37"/>
      <c r="D109" s="34"/>
    </row>
    <row r="110" spans="1:4" ht="15" hidden="1">
      <c r="A110" s="27"/>
      <c r="B110" s="41" t="s">
        <v>162</v>
      </c>
      <c r="C110" s="37"/>
      <c r="D110" s="34"/>
    </row>
    <row r="111" spans="1:4" ht="15" hidden="1">
      <c r="A111" s="27" t="s">
        <v>7</v>
      </c>
      <c r="B111" s="42" t="s">
        <v>163</v>
      </c>
      <c r="C111" s="37"/>
      <c r="D111" s="34"/>
    </row>
    <row r="112" spans="1:4" ht="15" hidden="1">
      <c r="A112" s="43" t="s">
        <v>7</v>
      </c>
      <c r="B112" s="44" t="s">
        <v>185</v>
      </c>
      <c r="C112" s="45"/>
      <c r="D112" s="73"/>
    </row>
    <row r="113" spans="1:4" ht="60" hidden="1">
      <c r="A113" s="27">
        <f>SUM(A107)+1</f>
        <v>6</v>
      </c>
      <c r="B113" s="47" t="s">
        <v>164</v>
      </c>
      <c r="C113" s="48"/>
      <c r="D113" s="34">
        <f>D114+D115+D116+D117+D124+D125+D136</f>
        <v>578328.67</v>
      </c>
    </row>
    <row r="114" spans="1:4" ht="45" hidden="1">
      <c r="A114" s="49" t="s">
        <v>7</v>
      </c>
      <c r="B114" s="50" t="s">
        <v>165</v>
      </c>
      <c r="C114" s="51"/>
      <c r="D114" s="52">
        <v>187665</v>
      </c>
    </row>
    <row r="115" spans="1:4" ht="15" hidden="1">
      <c r="A115" s="53" t="s">
        <v>7</v>
      </c>
      <c r="B115" s="54" t="s">
        <v>166</v>
      </c>
      <c r="C115" s="37"/>
      <c r="D115" s="34">
        <v>57988</v>
      </c>
    </row>
    <row r="116" spans="1:4" ht="15" hidden="1">
      <c r="A116" s="53" t="s">
        <v>7</v>
      </c>
      <c r="B116" s="54" t="s">
        <v>167</v>
      </c>
      <c r="C116" s="37"/>
      <c r="D116" s="34">
        <v>11787.32</v>
      </c>
    </row>
    <row r="117" spans="1:4" ht="15" hidden="1">
      <c r="A117" s="53" t="s">
        <v>7</v>
      </c>
      <c r="B117" s="54" t="s">
        <v>168</v>
      </c>
      <c r="C117" s="37"/>
      <c r="D117" s="34">
        <f>SUM(D118:D123)</f>
        <v>1967</v>
      </c>
    </row>
    <row r="118" spans="1:4" ht="15" hidden="1">
      <c r="A118" s="53"/>
      <c r="B118" s="54" t="s">
        <v>207</v>
      </c>
      <c r="C118" s="37"/>
      <c r="D118" s="34">
        <v>1967</v>
      </c>
    </row>
    <row r="119" spans="1:4" ht="15" hidden="1">
      <c r="A119" s="53"/>
      <c r="B119" s="54"/>
      <c r="C119" s="37"/>
      <c r="D119" s="34"/>
    </row>
    <row r="120" spans="1:4" ht="15" hidden="1">
      <c r="A120" s="53"/>
      <c r="B120" s="54"/>
      <c r="C120" s="37"/>
      <c r="D120" s="34"/>
    </row>
    <row r="121" spans="1:4" ht="15" hidden="1">
      <c r="A121" s="53"/>
      <c r="B121" s="54"/>
      <c r="C121" s="37"/>
      <c r="D121" s="34"/>
    </row>
    <row r="122" spans="1:4" ht="15" hidden="1">
      <c r="A122" s="53"/>
      <c r="B122" s="54"/>
      <c r="C122" s="37"/>
      <c r="D122" s="34"/>
    </row>
    <row r="123" spans="1:4" ht="15" hidden="1">
      <c r="A123" s="53"/>
      <c r="B123" s="54"/>
      <c r="C123" s="37"/>
      <c r="D123" s="34"/>
    </row>
    <row r="124" spans="1:4" ht="15" hidden="1">
      <c r="A124" s="53" t="s">
        <v>7</v>
      </c>
      <c r="B124" s="54" t="s">
        <v>169</v>
      </c>
      <c r="C124" s="37"/>
      <c r="D124" s="34">
        <v>37366</v>
      </c>
    </row>
    <row r="125" spans="1:4" ht="15" hidden="1">
      <c r="A125" s="53" t="s">
        <v>7</v>
      </c>
      <c r="B125" s="54" t="s">
        <v>170</v>
      </c>
      <c r="C125" s="37"/>
      <c r="D125" s="34">
        <f>SUM(D126:D135)</f>
        <v>259811.35</v>
      </c>
    </row>
    <row r="126" spans="1:4" ht="15" hidden="1">
      <c r="A126" s="53"/>
      <c r="B126" s="54" t="s">
        <v>187</v>
      </c>
      <c r="C126" s="37"/>
      <c r="D126" s="34">
        <v>74927</v>
      </c>
    </row>
    <row r="127" spans="1:4" ht="15" hidden="1">
      <c r="A127" s="53"/>
      <c r="B127" s="54" t="s">
        <v>209</v>
      </c>
      <c r="C127" s="37"/>
      <c r="D127" s="34">
        <v>159630.06</v>
      </c>
    </row>
    <row r="128" spans="1:4" ht="15" hidden="1">
      <c r="A128" s="53"/>
      <c r="B128" s="54" t="s">
        <v>210</v>
      </c>
      <c r="C128" s="37"/>
      <c r="D128" s="34">
        <v>25254.29</v>
      </c>
    </row>
    <row r="129" spans="1:4" ht="15" hidden="1">
      <c r="A129" s="53"/>
      <c r="B129" s="54"/>
      <c r="C129" s="37"/>
      <c r="D129" s="34"/>
    </row>
    <row r="130" spans="1:4" ht="15" hidden="1">
      <c r="A130" s="53"/>
      <c r="B130" s="54"/>
      <c r="C130" s="37"/>
      <c r="D130" s="34"/>
    </row>
    <row r="131" spans="1:4" ht="15" hidden="1">
      <c r="A131" s="53"/>
      <c r="B131" s="54"/>
      <c r="C131" s="37"/>
      <c r="D131" s="34"/>
    </row>
    <row r="132" spans="1:4" ht="15" hidden="1">
      <c r="A132" s="53"/>
      <c r="B132" s="54"/>
      <c r="C132" s="37"/>
      <c r="D132" s="34"/>
    </row>
    <row r="133" spans="1:4" ht="15" hidden="1">
      <c r="A133" s="53"/>
      <c r="B133" s="54"/>
      <c r="C133" s="37"/>
      <c r="D133" s="34"/>
    </row>
    <row r="134" spans="1:4" ht="15" hidden="1">
      <c r="A134" s="53"/>
      <c r="B134" s="54"/>
      <c r="C134" s="37"/>
      <c r="D134" s="34"/>
    </row>
    <row r="135" spans="1:4" ht="15" hidden="1">
      <c r="A135" s="53"/>
      <c r="B135" s="54"/>
      <c r="C135" s="37"/>
      <c r="D135" s="34"/>
    </row>
    <row r="136" spans="1:4" ht="15" hidden="1">
      <c r="A136" s="53" t="s">
        <v>7</v>
      </c>
      <c r="B136" s="55" t="s">
        <v>171</v>
      </c>
      <c r="C136" s="37"/>
      <c r="D136" s="34">
        <f>SUM(D137:D141)</f>
        <v>21744</v>
      </c>
    </row>
    <row r="137" spans="1:4" ht="15" hidden="1">
      <c r="A137" s="53"/>
      <c r="B137" s="56" t="s">
        <v>172</v>
      </c>
      <c r="C137" s="37"/>
      <c r="D137" s="34">
        <v>2694</v>
      </c>
    </row>
    <row r="138" spans="1:4" ht="15" hidden="1">
      <c r="A138" s="53"/>
      <c r="B138" s="56" t="s">
        <v>173</v>
      </c>
      <c r="C138" s="37"/>
      <c r="D138" s="34">
        <v>8122</v>
      </c>
    </row>
    <row r="139" spans="1:4" ht="15" hidden="1">
      <c r="A139" s="53"/>
      <c r="B139" s="56" t="s">
        <v>174</v>
      </c>
      <c r="C139" s="37"/>
      <c r="D139" s="34">
        <v>4679</v>
      </c>
    </row>
    <row r="140" spans="1:4" ht="15" hidden="1">
      <c r="A140" s="53"/>
      <c r="B140" s="56" t="s">
        <v>175</v>
      </c>
      <c r="C140" s="37"/>
      <c r="D140" s="34">
        <v>1739</v>
      </c>
    </row>
    <row r="141" spans="1:4" ht="15" hidden="1">
      <c r="A141" s="53"/>
      <c r="B141" s="56" t="s">
        <v>176</v>
      </c>
      <c r="C141" s="37"/>
      <c r="D141" s="34">
        <v>4510</v>
      </c>
    </row>
    <row r="142" spans="1:4" ht="15" hidden="1">
      <c r="A142" s="27">
        <v>7</v>
      </c>
      <c r="B142" s="32" t="s">
        <v>177</v>
      </c>
      <c r="C142" s="57"/>
      <c r="D142" s="58"/>
    </row>
    <row r="143" spans="1:4" ht="15" hidden="1">
      <c r="A143" s="27">
        <f>SUM(A142)+1</f>
        <v>8</v>
      </c>
      <c r="B143" s="32" t="s">
        <v>178</v>
      </c>
      <c r="C143" s="57"/>
      <c r="D143" s="34">
        <v>29651.71</v>
      </c>
    </row>
    <row r="144" spans="1:4" ht="15" hidden="1">
      <c r="A144" s="27">
        <f>SUM(A143)+1</f>
        <v>9</v>
      </c>
      <c r="B144" s="32" t="s">
        <v>179</v>
      </c>
      <c r="C144" s="37"/>
      <c r="D144" s="34">
        <v>236245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1674.47</v>
      </c>
    </row>
    <row r="146" spans="1:4" ht="15" hidden="1">
      <c r="A146" s="27">
        <v>11</v>
      </c>
      <c r="B146" s="32" t="s">
        <v>181</v>
      </c>
      <c r="C146" s="33"/>
      <c r="D146" s="34">
        <f>D147+15109+121396+162279</f>
        <v>426645.14280000003</v>
      </c>
    </row>
    <row r="147" spans="1:4" ht="30" hidden="1">
      <c r="A147" s="28" t="s">
        <v>182</v>
      </c>
      <c r="B147" s="59" t="s">
        <v>183</v>
      </c>
      <c r="C147" s="60"/>
      <c r="D147" s="64">
        <f>100*78.5*12+(1428112.06+1938002.22)*0.01</f>
        <v>127861.1428</v>
      </c>
    </row>
    <row r="148" spans="1:4" ht="30" hidden="1">
      <c r="A148" s="61">
        <v>12</v>
      </c>
      <c r="B148" s="62" t="s">
        <v>184</v>
      </c>
      <c r="C148" s="33"/>
      <c r="D148" s="34">
        <v>10511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8"/>
  <sheetViews>
    <sheetView view="pageLayout" zoomScaleSheetLayoutView="120" workbookViewId="0" topLeftCell="A1">
      <selection activeCell="B13" sqref="B13"/>
    </sheetView>
  </sheetViews>
  <sheetFormatPr defaultColWidth="9.140625" defaultRowHeight="15"/>
  <cols>
    <col min="1" max="1" width="5.8515625" style="2" customWidth="1"/>
    <col min="2" max="2" width="60.00390625" style="3" customWidth="1"/>
    <col min="3" max="3" width="8.140625" style="1" customWidth="1"/>
    <col min="4" max="4" width="24.8515625" style="66" customWidth="1"/>
    <col min="5" max="16384" width="9.140625" style="1" customWidth="1"/>
  </cols>
  <sheetData>
    <row r="1" spans="1:4" ht="16.5" customHeight="1">
      <c r="A1" s="102" t="s">
        <v>0</v>
      </c>
      <c r="B1" s="102"/>
      <c r="C1" s="102"/>
      <c r="D1" s="102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7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87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87">
        <v>42369</v>
      </c>
    </row>
    <row r="7" spans="1:4" s="9" customFormat="1" ht="29.25" customHeight="1">
      <c r="A7" s="103" t="s">
        <v>13</v>
      </c>
      <c r="B7" s="103"/>
      <c r="C7" s="103"/>
      <c r="D7" s="103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8">
        <f>434257.58+5068.53</f>
        <v>439326.11000000004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8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8">
        <f>D8</f>
        <v>439326.11000000004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f>1419362.28+62347.14</f>
        <v>1481709.42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f>1405568.66+62093.01</f>
        <v>1467661.67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1467661.67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1467661.67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5322.66+448051.2</f>
        <v>453373.86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D8+D11-D15</f>
        <v>453373.8600000001</v>
      </c>
    </row>
    <row r="25" spans="1:4" s="9" customFormat="1" ht="29.25" customHeight="1">
      <c r="A25" s="101" t="s">
        <v>49</v>
      </c>
      <c r="B25" s="101"/>
      <c r="C25" s="101"/>
      <c r="D25" s="101"/>
    </row>
    <row r="26" spans="1:4" s="9" customFormat="1" ht="16.5" customHeight="1">
      <c r="A26" s="6"/>
      <c r="B26" s="7" t="s">
        <v>50</v>
      </c>
      <c r="C26" s="18"/>
      <c r="D26" s="69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53.25" customHeight="1">
      <c r="A31" s="19" t="s">
        <v>59</v>
      </c>
      <c r="B31" s="16" t="s">
        <v>52</v>
      </c>
      <c r="C31" s="8" t="s">
        <v>7</v>
      </c>
      <c r="D31" s="70" t="s">
        <v>242</v>
      </c>
    </row>
    <row r="32" spans="1:4" s="9" customFormat="1" ht="76.5">
      <c r="A32" s="19" t="s">
        <v>60</v>
      </c>
      <c r="B32" s="16" t="s">
        <v>55</v>
      </c>
      <c r="C32" s="8" t="s">
        <v>7</v>
      </c>
      <c r="D32" s="70" t="s">
        <v>241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70" t="s">
        <v>231</v>
      </c>
    </row>
    <row r="34" spans="1:4" s="9" customFormat="1" ht="16.5" customHeight="1">
      <c r="A34" s="101" t="s">
        <v>62</v>
      </c>
      <c r="B34" s="101"/>
      <c r="C34" s="101"/>
      <c r="D34" s="101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01" t="s">
        <v>72</v>
      </c>
      <c r="B39" s="101"/>
      <c r="C39" s="101"/>
      <c r="D39" s="101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327581.23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327581.23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D52+D72+D82</f>
        <v>401123.47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v>401123.47</v>
      </c>
    </row>
    <row r="46" spans="1:4" s="9" customFormat="1" ht="15" customHeight="1">
      <c r="A46" s="101" t="s">
        <v>81</v>
      </c>
      <c r="B46" s="101"/>
      <c r="C46" s="101"/>
      <c r="D46" s="101"/>
    </row>
    <row r="47" spans="1:4" s="9" customFormat="1" ht="28.5">
      <c r="A47" s="6" t="s">
        <v>82</v>
      </c>
      <c r="B47" s="16" t="s">
        <v>83</v>
      </c>
      <c r="C47" s="8" t="s">
        <v>7</v>
      </c>
      <c r="D47" s="71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13294.132839962998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359273.94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345828.8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73334.22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359273.94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436501.52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-19380.3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16.5" customHeight="1">
      <c r="A57" s="6" t="s">
        <v>82</v>
      </c>
      <c r="B57" s="16" t="s">
        <v>83</v>
      </c>
      <c r="C57" s="8" t="s">
        <v>7</v>
      </c>
      <c r="D57" s="71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71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</f>
        <v>13294.132839962998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195266.27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187958.8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39857.33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195266.27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259330.7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-11514.07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71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D80/1673.36</f>
        <v>842.9842950709949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v>1410616.2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1357826.57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v>287931.92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f>D80</f>
        <v>1410616.2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1437798.19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67009.14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101" t="s">
        <v>138</v>
      </c>
      <c r="B87" s="101"/>
      <c r="C87" s="101"/>
      <c r="D87" s="101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01" t="s">
        <v>143</v>
      </c>
      <c r="B92" s="101"/>
      <c r="C92" s="101"/>
      <c r="D92" s="101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88">
        <v>10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88">
        <v>1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87678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72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1432192.4483</v>
      </c>
    </row>
    <row r="103" spans="1:4" ht="15" hidden="1">
      <c r="A103" s="27">
        <v>1</v>
      </c>
      <c r="B103" s="32" t="s">
        <v>155</v>
      </c>
      <c r="C103" s="33"/>
      <c r="D103" s="34">
        <v>185127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98691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17443.2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0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0</v>
      </c>
    </row>
    <row r="108" spans="1:4" ht="15" hidden="1">
      <c r="A108" s="27" t="s">
        <v>7</v>
      </c>
      <c r="B108" s="40" t="s">
        <v>160</v>
      </c>
      <c r="C108" s="37"/>
      <c r="D108" s="34"/>
    </row>
    <row r="109" spans="1:4" ht="15" hidden="1">
      <c r="A109" s="27"/>
      <c r="B109" s="41" t="s">
        <v>161</v>
      </c>
      <c r="C109" s="37"/>
      <c r="D109" s="34"/>
    </row>
    <row r="110" spans="1:4" ht="15" hidden="1">
      <c r="A110" s="27"/>
      <c r="B110" s="41" t="s">
        <v>162</v>
      </c>
      <c r="C110" s="37"/>
      <c r="D110" s="34"/>
    </row>
    <row r="111" spans="1:4" ht="15" hidden="1">
      <c r="A111" s="27" t="s">
        <v>7</v>
      </c>
      <c r="B111" s="42" t="s">
        <v>163</v>
      </c>
      <c r="C111" s="37"/>
      <c r="D111" s="34"/>
    </row>
    <row r="112" spans="1:4" ht="15" hidden="1">
      <c r="A112" s="43" t="s">
        <v>7</v>
      </c>
      <c r="B112" s="44" t="s">
        <v>185</v>
      </c>
      <c r="C112" s="45"/>
      <c r="D112" s="73"/>
    </row>
    <row r="113" spans="1:4" ht="60" hidden="1">
      <c r="A113" s="27">
        <f>SUM(A107)+1</f>
        <v>6</v>
      </c>
      <c r="B113" s="47" t="s">
        <v>164</v>
      </c>
      <c r="C113" s="48"/>
      <c r="D113" s="34">
        <f>D114+D115+D116+D117+D124+D125+D136</f>
        <v>498365.93000000005</v>
      </c>
    </row>
    <row r="114" spans="1:4" ht="45" hidden="1">
      <c r="A114" s="49" t="s">
        <v>7</v>
      </c>
      <c r="B114" s="50" t="s">
        <v>165</v>
      </c>
      <c r="C114" s="51"/>
      <c r="D114" s="52">
        <v>171301</v>
      </c>
    </row>
    <row r="115" spans="1:4" ht="15" hidden="1">
      <c r="A115" s="53" t="s">
        <v>7</v>
      </c>
      <c r="B115" s="54" t="s">
        <v>166</v>
      </c>
      <c r="C115" s="37"/>
      <c r="D115" s="34">
        <v>52932</v>
      </c>
    </row>
    <row r="116" spans="1:4" ht="15" hidden="1">
      <c r="A116" s="53" t="s">
        <v>7</v>
      </c>
      <c r="B116" s="54" t="s">
        <v>167</v>
      </c>
      <c r="C116" s="37"/>
      <c r="D116" s="34">
        <v>12752.82</v>
      </c>
    </row>
    <row r="117" spans="1:4" ht="15" hidden="1">
      <c r="A117" s="53" t="s">
        <v>7</v>
      </c>
      <c r="B117" s="54" t="s">
        <v>168</v>
      </c>
      <c r="C117" s="37"/>
      <c r="D117" s="34">
        <f>SUM(D118:D123)</f>
        <v>1765</v>
      </c>
    </row>
    <row r="118" spans="1:4" ht="15" hidden="1">
      <c r="A118" s="53"/>
      <c r="B118" s="54" t="s">
        <v>207</v>
      </c>
      <c r="C118" s="37"/>
      <c r="D118" s="34">
        <v>1765</v>
      </c>
    </row>
    <row r="119" spans="1:4" ht="15" hidden="1">
      <c r="A119" s="53"/>
      <c r="B119" s="54"/>
      <c r="C119" s="37"/>
      <c r="D119" s="34"/>
    </row>
    <row r="120" spans="1:4" ht="15" hidden="1">
      <c r="A120" s="53"/>
      <c r="B120" s="54"/>
      <c r="C120" s="37"/>
      <c r="D120" s="34"/>
    </row>
    <row r="121" spans="1:4" ht="15" hidden="1">
      <c r="A121" s="53"/>
      <c r="B121" s="54"/>
      <c r="C121" s="37"/>
      <c r="D121" s="34"/>
    </row>
    <row r="122" spans="1:4" ht="15" hidden="1">
      <c r="A122" s="53"/>
      <c r="B122" s="54"/>
      <c r="C122" s="37"/>
      <c r="D122" s="34"/>
    </row>
    <row r="123" spans="1:4" ht="15" hidden="1">
      <c r="A123" s="53"/>
      <c r="B123" s="54"/>
      <c r="C123" s="37"/>
      <c r="D123" s="34"/>
    </row>
    <row r="124" spans="1:4" ht="15" hidden="1">
      <c r="A124" s="53" t="s">
        <v>7</v>
      </c>
      <c r="B124" s="54" t="s">
        <v>169</v>
      </c>
      <c r="C124" s="37"/>
      <c r="D124" s="34">
        <v>33539</v>
      </c>
    </row>
    <row r="125" spans="1:4" ht="15" hidden="1">
      <c r="A125" s="53" t="s">
        <v>7</v>
      </c>
      <c r="B125" s="54" t="s">
        <v>170</v>
      </c>
      <c r="C125" s="37"/>
      <c r="D125" s="34">
        <f>SUM(D126:D135)</f>
        <v>206559.11000000002</v>
      </c>
    </row>
    <row r="126" spans="1:6" ht="15" hidden="1">
      <c r="A126" s="53"/>
      <c r="B126" s="54" t="s">
        <v>211</v>
      </c>
      <c r="C126" s="37"/>
      <c r="D126" s="34">
        <v>5510.66</v>
      </c>
      <c r="F126" s="54"/>
    </row>
    <row r="127" spans="1:4" ht="15" hidden="1">
      <c r="A127" s="53"/>
      <c r="B127" s="54" t="s">
        <v>212</v>
      </c>
      <c r="C127" s="37"/>
      <c r="D127" s="34">
        <v>201048.45</v>
      </c>
    </row>
    <row r="128" spans="1:4" ht="15" hidden="1">
      <c r="A128" s="53"/>
      <c r="B128" s="54"/>
      <c r="C128" s="37"/>
      <c r="D128" s="34"/>
    </row>
    <row r="129" spans="1:4" ht="15" hidden="1">
      <c r="A129" s="53"/>
      <c r="B129" s="54"/>
      <c r="C129" s="37"/>
      <c r="D129" s="34"/>
    </row>
    <row r="130" spans="1:4" ht="15" hidden="1">
      <c r="A130" s="53"/>
      <c r="B130" s="54"/>
      <c r="C130" s="37"/>
      <c r="D130" s="34"/>
    </row>
    <row r="131" spans="1:4" ht="15" hidden="1">
      <c r="A131" s="53"/>
      <c r="B131" s="54"/>
      <c r="C131" s="37"/>
      <c r="D131" s="34"/>
    </row>
    <row r="132" spans="1:4" ht="15" hidden="1">
      <c r="A132" s="53"/>
      <c r="B132" s="54"/>
      <c r="C132" s="37"/>
      <c r="D132" s="34"/>
    </row>
    <row r="133" spans="1:4" ht="15" hidden="1">
      <c r="A133" s="53"/>
      <c r="B133" s="54"/>
      <c r="C133" s="37"/>
      <c r="D133" s="34"/>
    </row>
    <row r="134" spans="1:4" ht="15" hidden="1">
      <c r="A134" s="53"/>
      <c r="B134" s="54"/>
      <c r="C134" s="37"/>
      <c r="D134" s="34"/>
    </row>
    <row r="135" spans="1:4" ht="15" hidden="1">
      <c r="A135" s="53"/>
      <c r="B135" s="54"/>
      <c r="C135" s="37"/>
      <c r="D135" s="34"/>
    </row>
    <row r="136" spans="1:4" ht="15" hidden="1">
      <c r="A136" s="53" t="s">
        <v>7</v>
      </c>
      <c r="B136" s="55" t="s">
        <v>171</v>
      </c>
      <c r="C136" s="37"/>
      <c r="D136" s="34">
        <f>SUM(D137:D141)</f>
        <v>19517</v>
      </c>
    </row>
    <row r="137" spans="1:4" ht="15" hidden="1">
      <c r="A137" s="53"/>
      <c r="B137" s="56" t="s">
        <v>172</v>
      </c>
      <c r="C137" s="37"/>
      <c r="D137" s="34">
        <v>2418</v>
      </c>
    </row>
    <row r="138" spans="1:4" ht="15" hidden="1">
      <c r="A138" s="53"/>
      <c r="B138" s="56" t="s">
        <v>173</v>
      </c>
      <c r="C138" s="37"/>
      <c r="D138" s="34">
        <v>7290</v>
      </c>
    </row>
    <row r="139" spans="1:4" ht="15" hidden="1">
      <c r="A139" s="53"/>
      <c r="B139" s="56" t="s">
        <v>174</v>
      </c>
      <c r="C139" s="37"/>
      <c r="D139" s="34">
        <v>4200</v>
      </c>
    </row>
    <row r="140" spans="1:4" ht="15" hidden="1">
      <c r="A140" s="53"/>
      <c r="B140" s="56" t="s">
        <v>175</v>
      </c>
      <c r="C140" s="37"/>
      <c r="D140" s="34">
        <v>1561</v>
      </c>
    </row>
    <row r="141" spans="1:4" ht="15" hidden="1">
      <c r="A141" s="53"/>
      <c r="B141" s="56" t="s">
        <v>176</v>
      </c>
      <c r="C141" s="37"/>
      <c r="D141" s="34">
        <v>4048</v>
      </c>
    </row>
    <row r="142" spans="1:4" ht="15" hidden="1">
      <c r="A142" s="27">
        <v>7</v>
      </c>
      <c r="B142" s="32" t="s">
        <v>177</v>
      </c>
      <c r="C142" s="57"/>
      <c r="D142" s="58"/>
    </row>
    <row r="143" spans="1:4" ht="15" hidden="1">
      <c r="A143" s="27">
        <f>SUM(A142)+1</f>
        <v>8</v>
      </c>
      <c r="B143" s="32" t="s">
        <v>178</v>
      </c>
      <c r="C143" s="57"/>
      <c r="D143" s="34">
        <v>29920.84</v>
      </c>
    </row>
    <row r="144" spans="1:4" ht="15" hidden="1">
      <c r="A144" s="27">
        <f>SUM(A143)+1</f>
        <v>9</v>
      </c>
      <c r="B144" s="32" t="s">
        <v>179</v>
      </c>
      <c r="C144" s="37"/>
      <c r="D144" s="34">
        <v>212050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3701.65</v>
      </c>
    </row>
    <row r="146" spans="1:4" ht="15" hidden="1">
      <c r="A146" s="27">
        <v>11</v>
      </c>
      <c r="B146" s="32" t="s">
        <v>181</v>
      </c>
      <c r="C146" s="33"/>
      <c r="D146" s="34">
        <f>D147+13562+108963+145659</f>
        <v>377457.8283</v>
      </c>
    </row>
    <row r="147" spans="1:4" ht="30" hidden="1">
      <c r="A147" s="28" t="s">
        <v>182</v>
      </c>
      <c r="B147" s="59" t="s">
        <v>183</v>
      </c>
      <c r="C147" s="60"/>
      <c r="D147" s="64">
        <f>81*78.5*12+(1405568.66+1891614.17)*0.01</f>
        <v>109273.8283</v>
      </c>
    </row>
    <row r="148" spans="1:4" ht="30" hidden="1">
      <c r="A148" s="61">
        <v>12</v>
      </c>
      <c r="B148" s="62" t="s">
        <v>184</v>
      </c>
      <c r="C148" s="33"/>
      <c r="D148" s="34">
        <v>9435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48"/>
  <sheetViews>
    <sheetView view="pageLayout" zoomScaleSheetLayoutView="120" workbookViewId="0" topLeftCell="A1">
      <selection activeCell="B11" sqref="B11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9.140625" style="1" customWidth="1"/>
    <col min="4" max="4" width="24.28125" style="66" customWidth="1"/>
    <col min="5" max="16384" width="9.140625" style="1" customWidth="1"/>
  </cols>
  <sheetData>
    <row r="1" spans="1:4" ht="16.5" customHeight="1">
      <c r="A1" s="102" t="s">
        <v>0</v>
      </c>
      <c r="B1" s="102"/>
      <c r="C1" s="102"/>
      <c r="D1" s="102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7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87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87">
        <v>42369</v>
      </c>
    </row>
    <row r="7" spans="1:4" s="9" customFormat="1" ht="29.25" customHeight="1">
      <c r="A7" s="103" t="s">
        <v>13</v>
      </c>
      <c r="B7" s="103"/>
      <c r="C7" s="103"/>
      <c r="D7" s="103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8">
        <v>118501.55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8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8">
        <f>D8</f>
        <v>118501.55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1538313.9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1526380.34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1526380.34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1526380.34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v>130435.11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130435.11</v>
      </c>
    </row>
    <row r="25" spans="1:4" s="9" customFormat="1" ht="29.25" customHeight="1">
      <c r="A25" s="101" t="s">
        <v>49</v>
      </c>
      <c r="B25" s="101"/>
      <c r="C25" s="101"/>
      <c r="D25" s="101"/>
    </row>
    <row r="26" spans="1:4" s="9" customFormat="1" ht="16.5" customHeight="1">
      <c r="A26" s="6"/>
      <c r="B26" s="7" t="s">
        <v>50</v>
      </c>
      <c r="C26" s="18"/>
      <c r="D26" s="69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38.25" customHeight="1">
      <c r="A31" s="19" t="s">
        <v>59</v>
      </c>
      <c r="B31" s="16" t="s">
        <v>52</v>
      </c>
      <c r="C31" s="8" t="s">
        <v>7</v>
      </c>
      <c r="D31" s="70" t="s">
        <v>244</v>
      </c>
    </row>
    <row r="32" spans="1:4" s="9" customFormat="1" ht="51">
      <c r="A32" s="19" t="s">
        <v>60</v>
      </c>
      <c r="B32" s="16" t="s">
        <v>55</v>
      </c>
      <c r="C32" s="8" t="s">
        <v>7</v>
      </c>
      <c r="D32" s="70" t="s">
        <v>245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70" t="s">
        <v>231</v>
      </c>
    </row>
    <row r="34" spans="1:4" s="9" customFormat="1" ht="16.5" customHeight="1">
      <c r="A34" s="101" t="s">
        <v>62</v>
      </c>
      <c r="B34" s="101"/>
      <c r="C34" s="101"/>
      <c r="D34" s="101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01" t="s">
        <v>72</v>
      </c>
      <c r="B39" s="101"/>
      <c r="C39" s="101"/>
      <c r="D39" s="101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107907.73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107907.73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164520.93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D52+D62+D72+D82</f>
        <v>164520.94</v>
      </c>
    </row>
    <row r="46" spans="1:4" s="9" customFormat="1" ht="15" customHeight="1">
      <c r="A46" s="101" t="s">
        <v>81</v>
      </c>
      <c r="B46" s="101"/>
      <c r="C46" s="101"/>
      <c r="D46" s="101"/>
    </row>
    <row r="47" spans="1:4" s="9" customFormat="1" ht="13.5" customHeight="1">
      <c r="A47" s="6" t="s">
        <v>82</v>
      </c>
      <c r="B47" s="16" t="s">
        <v>83</v>
      </c>
      <c r="C47" s="8" t="s">
        <v>7</v>
      </c>
      <c r="D47" s="71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10163.901572617948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274679.44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269482.59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15102.33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274679.44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333723.04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-14817.03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8.5">
      <c r="A57" s="6" t="s">
        <v>82</v>
      </c>
      <c r="B57" s="16" t="s">
        <v>83</v>
      </c>
      <c r="C57" s="8" t="s">
        <v>7</v>
      </c>
      <c r="D57" s="71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f>D60/132.62</f>
        <v>6998.460564017493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928135.84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910575.79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51030.44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f>D60</f>
        <v>928135.84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1752666.91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81683.72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71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D49+D59</f>
        <v>17162.362136635442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252059.54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247290.65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13858.65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252059.54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334757.14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-14862.94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71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D80/1673.36</f>
        <v>918.7583185925324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v>1537413.42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1508326.02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v>84529.52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f>D80</f>
        <v>1537413.42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1567038.74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73032.45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101" t="s">
        <v>138</v>
      </c>
      <c r="B87" s="101"/>
      <c r="C87" s="101"/>
      <c r="D87" s="101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01" t="s">
        <v>143</v>
      </c>
      <c r="B92" s="101"/>
      <c r="C92" s="101"/>
      <c r="D92" s="101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88">
        <v>4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88">
        <v>1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15441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72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1430387.3238</v>
      </c>
    </row>
    <row r="103" spans="1:4" ht="15" hidden="1">
      <c r="A103" s="27">
        <v>1</v>
      </c>
      <c r="B103" s="32" t="s">
        <v>155</v>
      </c>
      <c r="C103" s="33"/>
      <c r="D103" s="34">
        <v>203383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108424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44063.14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0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0</v>
      </c>
    </row>
    <row r="108" spans="1:4" ht="15" hidden="1">
      <c r="A108" s="27" t="s">
        <v>7</v>
      </c>
      <c r="B108" s="40" t="s">
        <v>160</v>
      </c>
      <c r="C108" s="37"/>
      <c r="D108" s="34"/>
    </row>
    <row r="109" spans="1:4" ht="15" hidden="1">
      <c r="A109" s="27"/>
      <c r="B109" s="41" t="s">
        <v>161</v>
      </c>
      <c r="C109" s="37"/>
      <c r="D109" s="34"/>
    </row>
    <row r="110" spans="1:4" ht="15" hidden="1">
      <c r="A110" s="27"/>
      <c r="B110" s="41" t="s">
        <v>162</v>
      </c>
      <c r="C110" s="37"/>
      <c r="D110" s="34"/>
    </row>
    <row r="111" spans="1:4" ht="15" hidden="1">
      <c r="A111" s="27" t="s">
        <v>7</v>
      </c>
      <c r="B111" s="42" t="s">
        <v>163</v>
      </c>
      <c r="C111" s="37"/>
      <c r="D111" s="34"/>
    </row>
    <row r="112" spans="1:4" ht="15" hidden="1">
      <c r="A112" s="43" t="s">
        <v>7</v>
      </c>
      <c r="B112" s="44" t="s">
        <v>185</v>
      </c>
      <c r="C112" s="45"/>
      <c r="D112" s="73"/>
    </row>
    <row r="113" spans="1:4" ht="60" hidden="1">
      <c r="A113" s="27">
        <f>SUM(A107)+1</f>
        <v>6</v>
      </c>
      <c r="B113" s="47" t="s">
        <v>164</v>
      </c>
      <c r="C113" s="48"/>
      <c r="D113" s="34">
        <f>D114+D115+D116+D117+D124+D125+D136</f>
        <v>373759.29000000004</v>
      </c>
    </row>
    <row r="114" spans="1:4" ht="45" hidden="1">
      <c r="A114" s="49" t="s">
        <v>7</v>
      </c>
      <c r="B114" s="50" t="s">
        <v>165</v>
      </c>
      <c r="C114" s="51"/>
      <c r="D114" s="52">
        <v>171930</v>
      </c>
    </row>
    <row r="115" spans="1:4" ht="15" hidden="1">
      <c r="A115" s="53" t="s">
        <v>7</v>
      </c>
      <c r="B115" s="54" t="s">
        <v>166</v>
      </c>
      <c r="C115" s="37"/>
      <c r="D115" s="34">
        <v>53126</v>
      </c>
    </row>
    <row r="116" spans="1:4" ht="15" hidden="1">
      <c r="A116" s="53" t="s">
        <v>7</v>
      </c>
      <c r="B116" s="54" t="s">
        <v>167</v>
      </c>
      <c r="C116" s="37"/>
      <c r="D116" s="34">
        <v>15474.42</v>
      </c>
    </row>
    <row r="117" spans="1:4" ht="15" hidden="1">
      <c r="A117" s="53" t="s">
        <v>7</v>
      </c>
      <c r="B117" s="54" t="s">
        <v>168</v>
      </c>
      <c r="C117" s="37"/>
      <c r="D117" s="34">
        <f>SUM(D118:D123)</f>
        <v>1858</v>
      </c>
    </row>
    <row r="118" spans="1:4" ht="15" hidden="1">
      <c r="A118" s="53"/>
      <c r="B118" s="54" t="s">
        <v>207</v>
      </c>
      <c r="C118" s="37"/>
      <c r="D118" s="34">
        <v>1858</v>
      </c>
    </row>
    <row r="119" spans="1:4" ht="15" hidden="1">
      <c r="A119" s="53"/>
      <c r="B119" s="54"/>
      <c r="C119" s="37"/>
      <c r="D119" s="34"/>
    </row>
    <row r="120" spans="1:4" ht="15" hidden="1">
      <c r="A120" s="53"/>
      <c r="B120" s="54"/>
      <c r="C120" s="37"/>
      <c r="D120" s="34"/>
    </row>
    <row r="121" spans="1:4" ht="15" hidden="1">
      <c r="A121" s="53"/>
      <c r="B121" s="54"/>
      <c r="C121" s="37"/>
      <c r="D121" s="34"/>
    </row>
    <row r="122" spans="1:4" ht="15" hidden="1">
      <c r="A122" s="53"/>
      <c r="B122" s="54"/>
      <c r="C122" s="37"/>
      <c r="D122" s="34"/>
    </row>
    <row r="123" spans="1:4" ht="15" hidden="1">
      <c r="A123" s="53"/>
      <c r="B123" s="54"/>
      <c r="C123" s="37"/>
      <c r="D123" s="34"/>
    </row>
    <row r="124" spans="1:4" ht="15" hidden="1">
      <c r="A124" s="53" t="s">
        <v>7</v>
      </c>
      <c r="B124" s="54" t="s">
        <v>169</v>
      </c>
      <c r="C124" s="37"/>
      <c r="D124" s="34">
        <v>35296</v>
      </c>
    </row>
    <row r="125" spans="1:4" ht="15" hidden="1">
      <c r="A125" s="53" t="s">
        <v>7</v>
      </c>
      <c r="B125" s="54" t="s">
        <v>170</v>
      </c>
      <c r="C125" s="37"/>
      <c r="D125" s="34">
        <f>SUM(D126:D135)</f>
        <v>75535.87</v>
      </c>
    </row>
    <row r="126" spans="1:6" ht="15" hidden="1">
      <c r="A126" s="53"/>
      <c r="B126" s="54" t="s">
        <v>223</v>
      </c>
      <c r="C126" s="37"/>
      <c r="D126" s="34">
        <v>6168.67</v>
      </c>
      <c r="F126" s="54"/>
    </row>
    <row r="127" spans="1:4" ht="15" hidden="1">
      <c r="A127" s="53"/>
      <c r="B127" s="54" t="s">
        <v>224</v>
      </c>
      <c r="C127" s="37"/>
      <c r="D127" s="34">
        <v>69367.2</v>
      </c>
    </row>
    <row r="128" spans="1:4" ht="15" hidden="1">
      <c r="A128" s="53"/>
      <c r="B128" s="54"/>
      <c r="C128" s="37"/>
      <c r="D128" s="34"/>
    </row>
    <row r="129" spans="1:4" ht="15" hidden="1">
      <c r="A129" s="53"/>
      <c r="B129" s="54"/>
      <c r="C129" s="37"/>
      <c r="D129" s="34"/>
    </row>
    <row r="130" spans="1:4" ht="15" hidden="1">
      <c r="A130" s="53"/>
      <c r="B130" s="54"/>
      <c r="C130" s="37"/>
      <c r="D130" s="34"/>
    </row>
    <row r="131" spans="1:4" ht="15" hidden="1">
      <c r="A131" s="53"/>
      <c r="B131" s="54"/>
      <c r="C131" s="37"/>
      <c r="D131" s="34"/>
    </row>
    <row r="132" spans="1:4" ht="15" hidden="1">
      <c r="A132" s="53"/>
      <c r="B132" s="54"/>
      <c r="C132" s="37"/>
      <c r="D132" s="34"/>
    </row>
    <row r="133" spans="1:4" ht="15" hidden="1">
      <c r="A133" s="53"/>
      <c r="B133" s="54"/>
      <c r="C133" s="37"/>
      <c r="D133" s="34"/>
    </row>
    <row r="134" spans="1:4" ht="15" hidden="1">
      <c r="A134" s="53"/>
      <c r="B134" s="54"/>
      <c r="C134" s="37"/>
      <c r="D134" s="34"/>
    </row>
    <row r="135" spans="1:4" ht="15" hidden="1">
      <c r="A135" s="53"/>
      <c r="B135" s="54"/>
      <c r="C135" s="37"/>
      <c r="D135" s="34"/>
    </row>
    <row r="136" spans="1:4" ht="15" hidden="1">
      <c r="A136" s="53" t="s">
        <v>7</v>
      </c>
      <c r="B136" s="55" t="s">
        <v>171</v>
      </c>
      <c r="C136" s="37"/>
      <c r="D136" s="34">
        <f>SUM(D137:D141)</f>
        <v>20539</v>
      </c>
    </row>
    <row r="137" spans="1:4" ht="15" hidden="1">
      <c r="A137" s="53"/>
      <c r="B137" s="56" t="s">
        <v>172</v>
      </c>
      <c r="C137" s="37"/>
      <c r="D137" s="34">
        <v>2545</v>
      </c>
    </row>
    <row r="138" spans="1:4" ht="15" hidden="1">
      <c r="A138" s="53"/>
      <c r="B138" s="56" t="s">
        <v>173</v>
      </c>
      <c r="C138" s="37"/>
      <c r="D138" s="34">
        <v>7672</v>
      </c>
    </row>
    <row r="139" spans="1:4" ht="15" hidden="1">
      <c r="A139" s="53"/>
      <c r="B139" s="56" t="s">
        <v>174</v>
      </c>
      <c r="C139" s="37"/>
      <c r="D139" s="34">
        <v>4420</v>
      </c>
    </row>
    <row r="140" spans="1:4" ht="15" hidden="1">
      <c r="A140" s="53"/>
      <c r="B140" s="56" t="s">
        <v>175</v>
      </c>
      <c r="C140" s="37"/>
      <c r="D140" s="34">
        <v>1642</v>
      </c>
    </row>
    <row r="141" spans="1:4" ht="15" hidden="1">
      <c r="A141" s="53"/>
      <c r="B141" s="56" t="s">
        <v>176</v>
      </c>
      <c r="C141" s="37"/>
      <c r="D141" s="34">
        <v>4260</v>
      </c>
    </row>
    <row r="142" spans="1:4" ht="15" hidden="1">
      <c r="A142" s="27">
        <v>7</v>
      </c>
      <c r="B142" s="32" t="s">
        <v>177</v>
      </c>
      <c r="C142" s="57"/>
      <c r="D142" s="34">
        <v>28363.02</v>
      </c>
    </row>
    <row r="143" spans="1:4" ht="15" hidden="1">
      <c r="A143" s="27">
        <f>SUM(A142)+1</f>
        <v>8</v>
      </c>
      <c r="B143" s="32" t="s">
        <v>178</v>
      </c>
      <c r="C143" s="57"/>
      <c r="D143" s="34">
        <v>11923.32</v>
      </c>
    </row>
    <row r="144" spans="1:4" ht="15" hidden="1">
      <c r="A144" s="27">
        <f>SUM(A143)+1</f>
        <v>9</v>
      </c>
      <c r="B144" s="32" t="s">
        <v>179</v>
      </c>
      <c r="C144" s="37"/>
      <c r="D144" s="34">
        <v>223158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1620</v>
      </c>
    </row>
    <row r="146" spans="1:4" ht="15" hidden="1">
      <c r="A146" s="27">
        <v>11</v>
      </c>
      <c r="B146" s="32" t="s">
        <v>181</v>
      </c>
      <c r="C146" s="33"/>
      <c r="D146" s="34">
        <f>D147+14272+114672+153290</f>
        <v>425764.5538</v>
      </c>
    </row>
    <row r="147" spans="1:4" ht="30" hidden="1">
      <c r="A147" s="28" t="s">
        <v>182</v>
      </c>
      <c r="B147" s="59" t="s">
        <v>183</v>
      </c>
      <c r="C147" s="60"/>
      <c r="D147" s="64">
        <f>105*78.5*12+(1526380.34+2935675.04)*0.01</f>
        <v>143530.5538</v>
      </c>
    </row>
    <row r="148" spans="1:4" ht="30" hidden="1">
      <c r="A148" s="61">
        <v>12</v>
      </c>
      <c r="B148" s="62" t="s">
        <v>184</v>
      </c>
      <c r="C148" s="33"/>
      <c r="D148" s="34">
        <v>9929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1">
      <selection activeCell="B95" sqref="B95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9.00390625" style="1" customWidth="1"/>
    <col min="4" max="4" width="24.421875" style="66" customWidth="1"/>
    <col min="5" max="16384" width="9.140625" style="1" customWidth="1"/>
  </cols>
  <sheetData>
    <row r="1" spans="1:4" ht="16.5" customHeight="1">
      <c r="A1" s="102" t="s">
        <v>0</v>
      </c>
      <c r="B1" s="102"/>
      <c r="C1" s="102"/>
      <c r="D1" s="102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7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87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87">
        <v>42369</v>
      </c>
    </row>
    <row r="7" spans="1:4" s="9" customFormat="1" ht="29.25" customHeight="1">
      <c r="A7" s="103" t="s">
        <v>13</v>
      </c>
      <c r="B7" s="103"/>
      <c r="C7" s="103"/>
      <c r="D7" s="103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8">
        <f>331981.93+52882.9</f>
        <v>384864.83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8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8">
        <f>D8</f>
        <v>384864.83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f>1077693+106543.34</f>
        <v>1184236.34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f>1024926.62+100930.94</f>
        <v>1125857.56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1125857.56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1125857.56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443243.6100000001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58495.3+384748.31</f>
        <v>443243.61</v>
      </c>
    </row>
    <row r="25" spans="1:4" s="9" customFormat="1" ht="29.25" customHeight="1">
      <c r="A25" s="101" t="s">
        <v>49</v>
      </c>
      <c r="B25" s="101"/>
      <c r="C25" s="101"/>
      <c r="D25" s="101"/>
    </row>
    <row r="26" spans="1:4" s="9" customFormat="1" ht="16.5" customHeight="1">
      <c r="A26" s="6"/>
      <c r="B26" s="7" t="s">
        <v>50</v>
      </c>
      <c r="C26" s="18"/>
      <c r="D26" s="69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51">
      <c r="A31" s="19" t="s">
        <v>59</v>
      </c>
      <c r="B31" s="16" t="s">
        <v>52</v>
      </c>
      <c r="C31" s="8" t="s">
        <v>7</v>
      </c>
      <c r="D31" s="70" t="s">
        <v>246</v>
      </c>
    </row>
    <row r="32" spans="1:4" s="9" customFormat="1" ht="51">
      <c r="A32" s="19" t="s">
        <v>60</v>
      </c>
      <c r="B32" s="16" t="s">
        <v>55</v>
      </c>
      <c r="C32" s="8" t="s">
        <v>7</v>
      </c>
      <c r="D32" s="70" t="s">
        <v>245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70" t="s">
        <v>231</v>
      </c>
    </row>
    <row r="34" spans="1:4" s="9" customFormat="1" ht="16.5" customHeight="1">
      <c r="A34" s="101" t="s">
        <v>62</v>
      </c>
      <c r="B34" s="101"/>
      <c r="C34" s="101"/>
      <c r="D34" s="101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01" t="s">
        <v>72</v>
      </c>
      <c r="B39" s="101"/>
      <c r="C39" s="101"/>
      <c r="D39" s="101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199218.29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v>199218.29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25096.38+160816.2</f>
        <v>185912.58000000002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D52+D72+D82</f>
        <v>185912.47999999998</v>
      </c>
    </row>
    <row r="46" spans="1:4" s="9" customFormat="1" ht="15" customHeight="1">
      <c r="A46" s="101" t="s">
        <v>81</v>
      </c>
      <c r="B46" s="101"/>
      <c r="C46" s="101"/>
      <c r="D46" s="101"/>
    </row>
    <row r="47" spans="1:4" s="9" customFormat="1" ht="14.25" customHeight="1">
      <c r="A47" s="6" t="s">
        <v>82</v>
      </c>
      <c r="B47" s="16" t="s">
        <v>83</v>
      </c>
      <c r="C47" s="8" t="s">
        <v>7</v>
      </c>
      <c r="D47" s="71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8362.402960222018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f>220644.21+5349.73</f>
        <v>225993.94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f>227217.6+5127.85</f>
        <v>232345.45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f>27527.25+5349.73-5127.85</f>
        <v>27749.129999999997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79162.63+141771.7</f>
        <v>220934.33000000002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f>96179+96848.38</f>
        <v>193027.38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f>-4270.27+69344.29</f>
        <v>65074.01999999999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15" customHeight="1">
      <c r="A57" s="6" t="s">
        <v>82</v>
      </c>
      <c r="B57" s="16" t="s">
        <v>83</v>
      </c>
      <c r="C57" s="8" t="s">
        <v>7</v>
      </c>
      <c r="D57" s="71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71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</f>
        <v>8362.402960222018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f>123213.46+2935.44</f>
        <v>126148.90000000001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f>126884.21+2813.69</f>
        <v>129697.90000000001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f>15371.98+2935.44-2813.69</f>
        <v>15493.729999999998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42595.59+80617.94</f>
        <v>123213.53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f>56570.67+53493.45</f>
        <v>110064.12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f>-2511.69+38301.78</f>
        <v>35790.09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71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v>587.85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f>945157.41+32243.68</f>
        <v>977401.0900000001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f>973315.36+7490.93</f>
        <v>980806.29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f>117916.87+32243.68-7490.93</f>
        <v>142669.62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f>344081.44+690133.42</f>
        <v>1034214.8600000001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f>350711.75+521925.45</f>
        <v>872637.2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f>16345.06+263896.66</f>
        <v>280241.72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101" t="s">
        <v>138</v>
      </c>
      <c r="B87" s="101"/>
      <c r="C87" s="101"/>
      <c r="D87" s="101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01" t="s">
        <v>143</v>
      </c>
      <c r="B92" s="101"/>
      <c r="C92" s="101"/>
      <c r="D92" s="101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88">
        <v>4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88">
        <v>1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29682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72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1035991.9379</v>
      </c>
    </row>
    <row r="103" spans="1:4" ht="15" hidden="1">
      <c r="A103" s="27">
        <v>1</v>
      </c>
      <c r="B103" s="32" t="s">
        <v>155</v>
      </c>
      <c r="C103" s="33"/>
      <c r="D103" s="34">
        <v>140563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74934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31682.52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0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0</v>
      </c>
    </row>
    <row r="108" spans="1:4" ht="15" hidden="1">
      <c r="A108" s="27" t="s">
        <v>7</v>
      </c>
      <c r="B108" s="40" t="s">
        <v>160</v>
      </c>
      <c r="C108" s="37"/>
      <c r="D108" s="34"/>
    </row>
    <row r="109" spans="1:4" ht="15" hidden="1">
      <c r="A109" s="27"/>
      <c r="B109" s="41" t="s">
        <v>161</v>
      </c>
      <c r="C109" s="37"/>
      <c r="D109" s="34"/>
    </row>
    <row r="110" spans="1:4" ht="15" hidden="1">
      <c r="A110" s="27"/>
      <c r="B110" s="41" t="s">
        <v>162</v>
      </c>
      <c r="C110" s="37"/>
      <c r="D110" s="34"/>
    </row>
    <row r="111" spans="1:4" ht="15" hidden="1">
      <c r="A111" s="27" t="s">
        <v>7</v>
      </c>
      <c r="B111" s="42" t="s">
        <v>163</v>
      </c>
      <c r="C111" s="37"/>
      <c r="D111" s="34"/>
    </row>
    <row r="112" spans="1:4" ht="15" hidden="1">
      <c r="A112" s="43" t="s">
        <v>7</v>
      </c>
      <c r="B112" s="44" t="s">
        <v>185</v>
      </c>
      <c r="C112" s="45"/>
      <c r="D112" s="73"/>
    </row>
    <row r="113" spans="1:4" ht="60" hidden="1">
      <c r="A113" s="27">
        <f>SUM(A107)+1</f>
        <v>6</v>
      </c>
      <c r="B113" s="47" t="s">
        <v>164</v>
      </c>
      <c r="C113" s="48"/>
      <c r="D113" s="34">
        <f>D114+D115+D116+D117+D124+D125+D136</f>
        <v>292151</v>
      </c>
    </row>
    <row r="114" spans="1:4" ht="45" hidden="1">
      <c r="A114" s="49" t="s">
        <v>7</v>
      </c>
      <c r="B114" s="50" t="s">
        <v>165</v>
      </c>
      <c r="C114" s="51"/>
      <c r="D114" s="52">
        <v>125616</v>
      </c>
    </row>
    <row r="115" spans="1:4" ht="15" hidden="1">
      <c r="A115" s="53" t="s">
        <v>7</v>
      </c>
      <c r="B115" s="54" t="s">
        <v>166</v>
      </c>
      <c r="C115" s="37"/>
      <c r="D115" s="34">
        <v>38815</v>
      </c>
    </row>
    <row r="116" spans="1:4" ht="15" hidden="1">
      <c r="A116" s="53" t="s">
        <v>7</v>
      </c>
      <c r="B116" s="54" t="s">
        <v>167</v>
      </c>
      <c r="C116" s="37"/>
      <c r="D116" s="34">
        <v>7789.32</v>
      </c>
    </row>
    <row r="117" spans="1:4" ht="15" hidden="1">
      <c r="A117" s="53" t="s">
        <v>7</v>
      </c>
      <c r="B117" s="54" t="s">
        <v>168</v>
      </c>
      <c r="C117" s="37"/>
      <c r="D117" s="34">
        <f>SUM(D118:D123)</f>
        <v>6470</v>
      </c>
    </row>
    <row r="118" spans="1:4" ht="15" hidden="1">
      <c r="A118" s="53"/>
      <c r="B118" s="54" t="s">
        <v>207</v>
      </c>
      <c r="C118" s="37"/>
      <c r="D118" s="34">
        <v>1424</v>
      </c>
    </row>
    <row r="119" spans="1:4" ht="15" hidden="1">
      <c r="A119" s="53"/>
      <c r="B119" s="54" t="s">
        <v>208</v>
      </c>
      <c r="C119" s="37"/>
      <c r="D119" s="34">
        <v>5046</v>
      </c>
    </row>
    <row r="120" spans="1:4" ht="15" hidden="1">
      <c r="A120" s="53"/>
      <c r="B120" s="54"/>
      <c r="C120" s="37"/>
      <c r="D120" s="34"/>
    </row>
    <row r="121" spans="1:4" ht="15" hidden="1">
      <c r="A121" s="53"/>
      <c r="B121" s="54"/>
      <c r="C121" s="37"/>
      <c r="D121" s="34"/>
    </row>
    <row r="122" spans="1:4" ht="15" hidden="1">
      <c r="A122" s="53"/>
      <c r="B122" s="54"/>
      <c r="C122" s="37"/>
      <c r="D122" s="34"/>
    </row>
    <row r="123" spans="1:4" ht="15" hidden="1">
      <c r="A123" s="53"/>
      <c r="B123" s="54"/>
      <c r="C123" s="37"/>
      <c r="D123" s="34"/>
    </row>
    <row r="124" spans="1:4" ht="15" hidden="1">
      <c r="A124" s="53" t="s">
        <v>7</v>
      </c>
      <c r="B124" s="54" t="s">
        <v>169</v>
      </c>
      <c r="C124" s="37"/>
      <c r="D124" s="34">
        <v>27050</v>
      </c>
    </row>
    <row r="125" spans="1:4" ht="15" hidden="1">
      <c r="A125" s="53" t="s">
        <v>7</v>
      </c>
      <c r="B125" s="54" t="s">
        <v>170</v>
      </c>
      <c r="C125" s="37"/>
      <c r="D125" s="34">
        <f>SUM(D126:D135)</f>
        <v>70670.68</v>
      </c>
    </row>
    <row r="126" spans="1:4" ht="15" hidden="1">
      <c r="A126" s="53"/>
      <c r="B126" s="54" t="s">
        <v>225</v>
      </c>
      <c r="C126" s="37"/>
      <c r="D126" s="34">
        <v>13795.83</v>
      </c>
    </row>
    <row r="127" spans="1:4" ht="15" hidden="1">
      <c r="A127" s="53"/>
      <c r="B127" s="54" t="s">
        <v>226</v>
      </c>
      <c r="C127" s="37"/>
      <c r="D127" s="34">
        <v>16810</v>
      </c>
    </row>
    <row r="128" spans="1:4" ht="15" hidden="1">
      <c r="A128" s="53"/>
      <c r="B128" s="54" t="s">
        <v>209</v>
      </c>
      <c r="C128" s="37"/>
      <c r="D128" s="34">
        <v>40064.85</v>
      </c>
    </row>
    <row r="129" spans="1:4" ht="15" hidden="1">
      <c r="A129" s="53"/>
      <c r="B129" s="54"/>
      <c r="C129" s="37"/>
      <c r="D129" s="34"/>
    </row>
    <row r="130" spans="1:4" ht="15" hidden="1">
      <c r="A130" s="53"/>
      <c r="B130" s="54"/>
      <c r="C130" s="37"/>
      <c r="D130" s="34"/>
    </row>
    <row r="131" spans="1:4" ht="15" hidden="1">
      <c r="A131" s="53"/>
      <c r="B131" s="54"/>
      <c r="C131" s="37"/>
      <c r="D131" s="34"/>
    </row>
    <row r="132" spans="1:4" ht="15" hidden="1">
      <c r="A132" s="53"/>
      <c r="B132" s="54"/>
      <c r="C132" s="37"/>
      <c r="D132" s="34"/>
    </row>
    <row r="133" spans="1:4" ht="15" hidden="1">
      <c r="A133" s="53"/>
      <c r="B133" s="54"/>
      <c r="C133" s="37"/>
      <c r="D133" s="34"/>
    </row>
    <row r="134" spans="1:4" ht="15" hidden="1">
      <c r="A134" s="53"/>
      <c r="B134" s="54"/>
      <c r="C134" s="37"/>
      <c r="D134" s="34"/>
    </row>
    <row r="135" spans="1:4" ht="15" hidden="1">
      <c r="A135" s="53"/>
      <c r="B135" s="54"/>
      <c r="C135" s="37"/>
      <c r="D135" s="34"/>
    </row>
    <row r="136" spans="1:4" ht="15" hidden="1">
      <c r="A136" s="53" t="s">
        <v>7</v>
      </c>
      <c r="B136" s="55" t="s">
        <v>171</v>
      </c>
      <c r="C136" s="37"/>
      <c r="D136" s="34">
        <f>SUM(D137:D141)</f>
        <v>15740</v>
      </c>
    </row>
    <row r="137" spans="1:4" ht="15" hidden="1">
      <c r="A137" s="53"/>
      <c r="B137" s="56" t="s">
        <v>172</v>
      </c>
      <c r="C137" s="37"/>
      <c r="D137" s="34">
        <v>1950</v>
      </c>
    </row>
    <row r="138" spans="1:4" ht="15" hidden="1">
      <c r="A138" s="53"/>
      <c r="B138" s="56" t="s">
        <v>173</v>
      </c>
      <c r="C138" s="37"/>
      <c r="D138" s="34">
        <v>5879</v>
      </c>
    </row>
    <row r="139" spans="1:4" ht="15" hidden="1">
      <c r="A139" s="53"/>
      <c r="B139" s="56" t="s">
        <v>174</v>
      </c>
      <c r="C139" s="37"/>
      <c r="D139" s="34">
        <v>3387</v>
      </c>
    </row>
    <row r="140" spans="1:4" ht="15" hidden="1">
      <c r="A140" s="53"/>
      <c r="B140" s="56" t="s">
        <v>175</v>
      </c>
      <c r="C140" s="37"/>
      <c r="D140" s="34">
        <v>1259</v>
      </c>
    </row>
    <row r="141" spans="1:4" ht="15" hidden="1">
      <c r="A141" s="53"/>
      <c r="B141" s="56" t="s">
        <v>176</v>
      </c>
      <c r="C141" s="37"/>
      <c r="D141" s="34">
        <v>3265</v>
      </c>
    </row>
    <row r="142" spans="1:4" ht="15" hidden="1">
      <c r="A142" s="27">
        <v>7</v>
      </c>
      <c r="B142" s="32" t="s">
        <v>177</v>
      </c>
      <c r="C142" s="57"/>
      <c r="D142" s="58"/>
    </row>
    <row r="143" spans="1:4" ht="15" hidden="1">
      <c r="A143" s="27">
        <f>SUM(A142)+1</f>
        <v>8</v>
      </c>
      <c r="B143" s="32" t="s">
        <v>178</v>
      </c>
      <c r="C143" s="57"/>
      <c r="D143" s="34">
        <v>22396.15</v>
      </c>
    </row>
    <row r="144" spans="1:4" ht="15" hidden="1">
      <c r="A144" s="27">
        <f>SUM(A143)+1</f>
        <v>9</v>
      </c>
      <c r="B144" s="32" t="s">
        <v>179</v>
      </c>
      <c r="C144" s="37"/>
      <c r="D144" s="34">
        <v>171023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1176.83</v>
      </c>
    </row>
    <row r="146" spans="1:4" ht="15" hidden="1">
      <c r="A146" s="27">
        <v>11</v>
      </c>
      <c r="B146" s="32" t="s">
        <v>181</v>
      </c>
      <c r="C146" s="33"/>
      <c r="D146" s="34">
        <f>D147+10938+87881+117477</f>
        <v>294455.4379</v>
      </c>
    </row>
    <row r="147" spans="1:4" ht="30" hidden="1">
      <c r="A147" s="28" t="s">
        <v>182</v>
      </c>
      <c r="B147" s="59" t="s">
        <v>183</v>
      </c>
      <c r="C147" s="60"/>
      <c r="D147" s="64">
        <f>58*78.5*12+(1024926.62+1327417.17)*0.01</f>
        <v>78159.4379</v>
      </c>
    </row>
    <row r="148" spans="1:4" ht="30" hidden="1">
      <c r="A148" s="61">
        <v>12</v>
      </c>
      <c r="B148" s="62" t="s">
        <v>184</v>
      </c>
      <c r="C148" s="33"/>
      <c r="D148" s="34">
        <v>7610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1">
      <selection activeCell="B15" sqref="B15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8.421875" style="1" customWidth="1"/>
    <col min="4" max="4" width="25.421875" style="66" customWidth="1"/>
    <col min="5" max="16384" width="9.140625" style="1" customWidth="1"/>
  </cols>
  <sheetData>
    <row r="1" spans="1:4" ht="16.5" customHeight="1">
      <c r="A1" s="102" t="s">
        <v>0</v>
      </c>
      <c r="B1" s="102"/>
      <c r="C1" s="102"/>
      <c r="D1" s="102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7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87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87">
        <v>42369</v>
      </c>
    </row>
    <row r="7" spans="1:4" s="9" customFormat="1" ht="29.25" customHeight="1">
      <c r="A7" s="103" t="s">
        <v>13</v>
      </c>
      <c r="B7" s="103"/>
      <c r="C7" s="103"/>
      <c r="D7" s="103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8">
        <f>188950.82+51507.32</f>
        <v>240458.14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8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8">
        <f>D8</f>
        <v>240458.14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f>1610234.29+389476.4</f>
        <v>1999710.69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f>404652.16+1514778.38</f>
        <v>1919430.5399999998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1919430.5399999998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20.25" customHeight="1">
      <c r="A21" s="6" t="s">
        <v>41</v>
      </c>
      <c r="B21" s="16" t="s">
        <v>42</v>
      </c>
      <c r="C21" s="8" t="s">
        <v>16</v>
      </c>
      <c r="D21" s="17">
        <f>D15</f>
        <v>1919430.5399999998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320738.29000000027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284406.73+36331.56</f>
        <v>320738.29</v>
      </c>
    </row>
    <row r="25" spans="1:4" s="9" customFormat="1" ht="29.25" customHeight="1">
      <c r="A25" s="101" t="s">
        <v>49</v>
      </c>
      <c r="B25" s="101"/>
      <c r="C25" s="101"/>
      <c r="D25" s="101"/>
    </row>
    <row r="26" spans="1:4" s="9" customFormat="1" ht="16.5" customHeight="1">
      <c r="A26" s="6"/>
      <c r="B26" s="7" t="s">
        <v>50</v>
      </c>
      <c r="C26" s="18"/>
      <c r="D26" s="69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63.75">
      <c r="A31" s="19" t="s">
        <v>59</v>
      </c>
      <c r="B31" s="16" t="s">
        <v>52</v>
      </c>
      <c r="C31" s="8" t="s">
        <v>7</v>
      </c>
      <c r="D31" s="70" t="s">
        <v>247</v>
      </c>
    </row>
    <row r="32" spans="1:4" s="9" customFormat="1" ht="51">
      <c r="A32" s="19" t="s">
        <v>60</v>
      </c>
      <c r="B32" s="16" t="s">
        <v>55</v>
      </c>
      <c r="C32" s="8" t="s">
        <v>7</v>
      </c>
      <c r="D32" s="70" t="s">
        <v>245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70" t="s">
        <v>231</v>
      </c>
    </row>
    <row r="34" spans="1:4" s="9" customFormat="1" ht="16.5" customHeight="1">
      <c r="A34" s="101" t="s">
        <v>62</v>
      </c>
      <c r="B34" s="101"/>
      <c r="C34" s="101"/>
      <c r="D34" s="101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01" t="s">
        <v>72</v>
      </c>
      <c r="B39" s="101"/>
      <c r="C39" s="101"/>
      <c r="D39" s="101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158568.53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158568.53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D52+D72+D82</f>
        <v>309295.25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v>309295.25</v>
      </c>
    </row>
    <row r="46" spans="1:4" s="9" customFormat="1" ht="15" customHeight="1">
      <c r="A46" s="101" t="s">
        <v>81</v>
      </c>
      <c r="B46" s="101"/>
      <c r="C46" s="101"/>
      <c r="D46" s="101"/>
    </row>
    <row r="47" spans="1:4" s="9" customFormat="1" ht="28.5">
      <c r="A47" s="6" t="s">
        <v>82</v>
      </c>
      <c r="B47" s="16" t="s">
        <v>83</v>
      </c>
      <c r="C47" s="8" t="s">
        <v>7</v>
      </c>
      <c r="D47" s="71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13448.502127659576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363445.77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338098.9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52012.46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363445.77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441570.1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-19605.35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16.5" customHeight="1">
      <c r="A57" s="6" t="s">
        <v>82</v>
      </c>
      <c r="B57" s="16" t="s">
        <v>83</v>
      </c>
      <c r="C57" s="8" t="s">
        <v>7</v>
      </c>
      <c r="D57" s="71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71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</f>
        <v>13448.502127659576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197537.91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183761.53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28269.51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197537.91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262347.64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-11648.02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71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D80/1673.36</f>
        <v>956.3205825405174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v>1600268.61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1488665.15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v>229013.28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f>D80</f>
        <v>1600268.61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1631105.12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76018.29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101" t="s">
        <v>138</v>
      </c>
      <c r="B87" s="101"/>
      <c r="C87" s="101"/>
      <c r="D87" s="101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01" t="s">
        <v>143</v>
      </c>
      <c r="B92" s="101"/>
      <c r="C92" s="101"/>
      <c r="D92" s="101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88">
        <v>14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88">
        <v>1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41060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72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1743198.5995</v>
      </c>
    </row>
    <row r="103" spans="1:4" ht="15" hidden="1">
      <c r="A103" s="27">
        <v>1</v>
      </c>
      <c r="B103" s="32" t="s">
        <v>155</v>
      </c>
      <c r="C103" s="33"/>
      <c r="D103" s="34">
        <v>213336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113729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17337.86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0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0</v>
      </c>
    </row>
    <row r="108" spans="1:4" ht="15" hidden="1">
      <c r="A108" s="27" t="s">
        <v>7</v>
      </c>
      <c r="B108" s="40" t="s">
        <v>160</v>
      </c>
      <c r="C108" s="37"/>
      <c r="D108" s="34"/>
    </row>
    <row r="109" spans="1:4" ht="15" hidden="1">
      <c r="A109" s="27"/>
      <c r="B109" s="41" t="s">
        <v>161</v>
      </c>
      <c r="C109" s="37"/>
      <c r="D109" s="34"/>
    </row>
    <row r="110" spans="1:4" ht="15" hidden="1">
      <c r="A110" s="27"/>
      <c r="B110" s="41" t="s">
        <v>162</v>
      </c>
      <c r="C110" s="37"/>
      <c r="D110" s="34"/>
    </row>
    <row r="111" spans="1:4" ht="15" hidden="1">
      <c r="A111" s="27" t="s">
        <v>7</v>
      </c>
      <c r="B111" s="42" t="s">
        <v>163</v>
      </c>
      <c r="C111" s="37"/>
      <c r="D111" s="34"/>
    </row>
    <row r="112" spans="1:4" ht="15" hidden="1">
      <c r="A112" s="43" t="s">
        <v>7</v>
      </c>
      <c r="B112" s="44" t="s">
        <v>185</v>
      </c>
      <c r="C112" s="45"/>
      <c r="D112" s="73"/>
    </row>
    <row r="113" spans="1:4" ht="60" hidden="1">
      <c r="A113" s="27">
        <f>SUM(A107)+1</f>
        <v>6</v>
      </c>
      <c r="B113" s="47" t="s">
        <v>164</v>
      </c>
      <c r="C113" s="48"/>
      <c r="D113" s="34">
        <f>D114+D115+D116+D117+D124+D125+D136</f>
        <v>515016.67000000004</v>
      </c>
    </row>
    <row r="114" spans="1:4" ht="45" hidden="1">
      <c r="A114" s="49" t="s">
        <v>7</v>
      </c>
      <c r="B114" s="50" t="s">
        <v>165</v>
      </c>
      <c r="C114" s="51"/>
      <c r="D114" s="52">
        <v>231251</v>
      </c>
    </row>
    <row r="115" spans="1:4" ht="15" hidden="1">
      <c r="A115" s="53" t="s">
        <v>7</v>
      </c>
      <c r="B115" s="54" t="s">
        <v>166</v>
      </c>
      <c r="C115" s="37"/>
      <c r="D115" s="34">
        <v>71456</v>
      </c>
    </row>
    <row r="116" spans="1:4" ht="15" hidden="1">
      <c r="A116" s="53" t="s">
        <v>7</v>
      </c>
      <c r="B116" s="54" t="s">
        <v>167</v>
      </c>
      <c r="C116" s="37"/>
      <c r="D116" s="34">
        <v>12821.65</v>
      </c>
    </row>
    <row r="117" spans="1:4" ht="15" hidden="1">
      <c r="A117" s="53" t="s">
        <v>7</v>
      </c>
      <c r="B117" s="54" t="s">
        <v>168</v>
      </c>
      <c r="C117" s="37"/>
      <c r="D117" s="34">
        <f>SUM(D118:D123)</f>
        <v>2568</v>
      </c>
    </row>
    <row r="118" spans="1:4" ht="15" hidden="1">
      <c r="A118" s="53"/>
      <c r="B118" s="54" t="s">
        <v>207</v>
      </c>
      <c r="C118" s="37"/>
      <c r="D118" s="34">
        <v>2568</v>
      </c>
    </row>
    <row r="119" spans="1:4" ht="15" hidden="1">
      <c r="A119" s="53"/>
      <c r="B119" s="54"/>
      <c r="C119" s="37"/>
      <c r="D119" s="34"/>
    </row>
    <row r="120" spans="1:4" ht="15" hidden="1">
      <c r="A120" s="53"/>
      <c r="B120" s="54"/>
      <c r="C120" s="37"/>
      <c r="D120" s="34"/>
    </row>
    <row r="121" spans="1:4" ht="15" hidden="1">
      <c r="A121" s="53"/>
      <c r="B121" s="54"/>
      <c r="C121" s="37"/>
      <c r="D121" s="34"/>
    </row>
    <row r="122" spans="1:4" ht="15" hidden="1">
      <c r="A122" s="53"/>
      <c r="B122" s="54"/>
      <c r="C122" s="37"/>
      <c r="D122" s="34"/>
    </row>
    <row r="123" spans="1:4" ht="15" hidden="1">
      <c r="A123" s="53"/>
      <c r="B123" s="54"/>
      <c r="C123" s="37"/>
      <c r="D123" s="34"/>
    </row>
    <row r="124" spans="1:4" ht="15" hidden="1">
      <c r="A124" s="53" t="s">
        <v>7</v>
      </c>
      <c r="B124" s="54" t="s">
        <v>169</v>
      </c>
      <c r="C124" s="37"/>
      <c r="D124" s="34">
        <v>48782</v>
      </c>
    </row>
    <row r="125" spans="1:4" ht="15" hidden="1">
      <c r="A125" s="53" t="s">
        <v>7</v>
      </c>
      <c r="B125" s="54" t="s">
        <v>170</v>
      </c>
      <c r="C125" s="37"/>
      <c r="D125" s="34">
        <f>SUM(D126:D135)</f>
        <v>119752.02</v>
      </c>
    </row>
    <row r="126" spans="1:4" ht="15" hidden="1">
      <c r="A126" s="53"/>
      <c r="B126" s="54" t="s">
        <v>209</v>
      </c>
      <c r="C126" s="37"/>
      <c r="D126" s="34">
        <v>10586.11</v>
      </c>
    </row>
    <row r="127" spans="1:4" ht="15" hidden="1">
      <c r="A127" s="53"/>
      <c r="B127" s="54" t="s">
        <v>228</v>
      </c>
      <c r="C127" s="37"/>
      <c r="D127" s="34">
        <v>86547.36</v>
      </c>
    </row>
    <row r="128" spans="1:4" ht="15" hidden="1">
      <c r="A128" s="53"/>
      <c r="B128" s="54" t="s">
        <v>229</v>
      </c>
      <c r="C128" s="37"/>
      <c r="D128" s="34">
        <v>22618.55</v>
      </c>
    </row>
    <row r="129" spans="1:4" ht="15" hidden="1">
      <c r="A129" s="53"/>
      <c r="B129" s="54"/>
      <c r="C129" s="37"/>
      <c r="D129" s="34"/>
    </row>
    <row r="130" spans="1:4" ht="15" hidden="1">
      <c r="A130" s="53"/>
      <c r="B130" s="54"/>
      <c r="C130" s="37"/>
      <c r="D130" s="34"/>
    </row>
    <row r="131" spans="1:4" ht="15" hidden="1">
      <c r="A131" s="53"/>
      <c r="B131" s="54"/>
      <c r="C131" s="37"/>
      <c r="D131" s="34"/>
    </row>
    <row r="132" spans="1:4" ht="15" hidden="1">
      <c r="A132" s="53"/>
      <c r="B132" s="54"/>
      <c r="C132" s="37"/>
      <c r="D132" s="34"/>
    </row>
    <row r="133" spans="1:4" ht="15" hidden="1">
      <c r="A133" s="53"/>
      <c r="B133" s="54"/>
      <c r="C133" s="37"/>
      <c r="D133" s="34"/>
    </row>
    <row r="134" spans="1:4" ht="15" hidden="1">
      <c r="A134" s="53"/>
      <c r="B134" s="54"/>
      <c r="C134" s="37"/>
      <c r="D134" s="34"/>
    </row>
    <row r="135" spans="1:4" ht="15" hidden="1">
      <c r="A135" s="53"/>
      <c r="B135" s="54"/>
      <c r="C135" s="37"/>
      <c r="D135" s="34"/>
    </row>
    <row r="136" spans="1:4" ht="15" hidden="1">
      <c r="A136" s="53" t="s">
        <v>7</v>
      </c>
      <c r="B136" s="55" t="s">
        <v>171</v>
      </c>
      <c r="C136" s="37"/>
      <c r="D136" s="34">
        <f>SUM(D137:D141)</f>
        <v>28386</v>
      </c>
    </row>
    <row r="137" spans="1:4" ht="15" hidden="1">
      <c r="A137" s="53"/>
      <c r="B137" s="56" t="s">
        <v>172</v>
      </c>
      <c r="C137" s="37"/>
      <c r="D137" s="34">
        <v>3517</v>
      </c>
    </row>
    <row r="138" spans="1:4" ht="15" hidden="1">
      <c r="A138" s="53"/>
      <c r="B138" s="56" t="s">
        <v>173</v>
      </c>
      <c r="C138" s="37"/>
      <c r="D138" s="34">
        <v>10603</v>
      </c>
    </row>
    <row r="139" spans="1:4" ht="15" hidden="1">
      <c r="A139" s="53"/>
      <c r="B139" s="56" t="s">
        <v>174</v>
      </c>
      <c r="C139" s="37"/>
      <c r="D139" s="34">
        <v>6108</v>
      </c>
    </row>
    <row r="140" spans="1:4" ht="15" hidden="1">
      <c r="A140" s="53"/>
      <c r="B140" s="56" t="s">
        <v>175</v>
      </c>
      <c r="C140" s="37"/>
      <c r="D140" s="34">
        <v>2270</v>
      </c>
    </row>
    <row r="141" spans="1:4" ht="15" hidden="1">
      <c r="A141" s="53"/>
      <c r="B141" s="56" t="s">
        <v>176</v>
      </c>
      <c r="C141" s="37"/>
      <c r="D141" s="34">
        <v>5888</v>
      </c>
    </row>
    <row r="142" spans="1:4" ht="15" hidden="1">
      <c r="A142" s="27">
        <v>7</v>
      </c>
      <c r="B142" s="32" t="s">
        <v>177</v>
      </c>
      <c r="C142" s="57"/>
      <c r="D142" s="58"/>
    </row>
    <row r="143" spans="1:4" ht="15" hidden="1">
      <c r="A143" s="27">
        <f>SUM(A142)+1</f>
        <v>8</v>
      </c>
      <c r="B143" s="32" t="s">
        <v>178</v>
      </c>
      <c r="C143" s="57"/>
      <c r="D143" s="34">
        <v>39766.94</v>
      </c>
    </row>
    <row r="144" spans="1:4" ht="15" hidden="1">
      <c r="A144" s="27">
        <f>SUM(A143)+1</f>
        <v>9</v>
      </c>
      <c r="B144" s="32" t="s">
        <v>179</v>
      </c>
      <c r="C144" s="37"/>
      <c r="D144" s="34">
        <v>308425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7050.09</v>
      </c>
    </row>
    <row r="146" spans="1:4" ht="15" hidden="1">
      <c r="A146" s="27">
        <v>11</v>
      </c>
      <c r="B146" s="32" t="s">
        <v>181</v>
      </c>
      <c r="C146" s="33"/>
      <c r="D146" s="34">
        <f>D147+19725+158486+211860</f>
        <v>514814.0395</v>
      </c>
    </row>
    <row r="147" spans="1:4" ht="30" hidden="1">
      <c r="A147" s="28" t="s">
        <v>182</v>
      </c>
      <c r="B147" s="59" t="s">
        <v>183</v>
      </c>
      <c r="C147" s="60"/>
      <c r="D147" s="64">
        <f>95*78.5*12+(1514778.38+2010525.57)*0.01</f>
        <v>124743.03950000001</v>
      </c>
    </row>
    <row r="148" spans="1:4" ht="30" hidden="1">
      <c r="A148" s="61">
        <v>12</v>
      </c>
      <c r="B148" s="62" t="s">
        <v>184</v>
      </c>
      <c r="C148" s="33"/>
      <c r="D148" s="34">
        <v>13723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30" workbookViewId="0" topLeftCell="A1">
      <selection activeCell="B12" sqref="B12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9.140625" style="1" customWidth="1"/>
    <col min="4" max="4" width="24.421875" style="66" customWidth="1"/>
    <col min="5" max="16384" width="9.140625" style="1" customWidth="1"/>
  </cols>
  <sheetData>
    <row r="1" spans="1:4" ht="16.5" customHeight="1">
      <c r="A1" s="102" t="s">
        <v>0</v>
      </c>
      <c r="B1" s="102"/>
      <c r="C1" s="102"/>
      <c r="D1" s="102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7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87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87">
        <v>42369</v>
      </c>
    </row>
    <row r="7" spans="1:4" s="9" customFormat="1" ht="29.25" customHeight="1">
      <c r="A7" s="103" t="s">
        <v>13</v>
      </c>
      <c r="B7" s="103"/>
      <c r="C7" s="103"/>
      <c r="D7" s="103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8">
        <f>157159.1+50375.91</f>
        <v>207535.01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8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8">
        <f>D8</f>
        <v>207535.01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f>981820.02+144694.47</f>
        <v>1126514.49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f>983759.25+138380.63</f>
        <v>1122139.88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1122139.88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1122139.88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211909.6200000001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155219.87+56689.75</f>
        <v>211909.62</v>
      </c>
    </row>
    <row r="25" spans="1:4" s="9" customFormat="1" ht="29.25" customHeight="1">
      <c r="A25" s="101" t="s">
        <v>49</v>
      </c>
      <c r="B25" s="101"/>
      <c r="C25" s="101"/>
      <c r="D25" s="101"/>
    </row>
    <row r="26" spans="1:4" s="9" customFormat="1" ht="15">
      <c r="A26" s="6"/>
      <c r="B26" s="7" t="s">
        <v>50</v>
      </c>
      <c r="C26" s="18"/>
      <c r="D26" s="69"/>
    </row>
    <row r="27" spans="1:4" s="9" customFormat="1" ht="15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5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5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5">
      <c r="A30" s="6"/>
      <c r="B30" s="7" t="s">
        <v>58</v>
      </c>
      <c r="C30" s="8"/>
      <c r="D30" s="17"/>
    </row>
    <row r="31" spans="1:4" s="9" customFormat="1" ht="15">
      <c r="A31" s="19" t="s">
        <v>59</v>
      </c>
      <c r="B31" s="16" t="s">
        <v>52</v>
      </c>
      <c r="C31" s="8" t="s">
        <v>7</v>
      </c>
      <c r="D31" s="70">
        <v>0</v>
      </c>
    </row>
    <row r="32" spans="1:4" s="9" customFormat="1" ht="15">
      <c r="A32" s="19" t="s">
        <v>60</v>
      </c>
      <c r="B32" s="16" t="s">
        <v>55</v>
      </c>
      <c r="C32" s="8" t="s">
        <v>7</v>
      </c>
      <c r="D32" s="70">
        <v>0</v>
      </c>
    </row>
    <row r="33" spans="1:4" s="9" customFormat="1" ht="15">
      <c r="A33" s="19" t="s">
        <v>61</v>
      </c>
      <c r="B33" s="16" t="s">
        <v>57</v>
      </c>
      <c r="C33" s="8" t="s">
        <v>7</v>
      </c>
      <c r="D33" s="70">
        <v>0</v>
      </c>
    </row>
    <row r="34" spans="1:4" s="9" customFormat="1" ht="15">
      <c r="A34" s="101" t="s">
        <v>62</v>
      </c>
      <c r="B34" s="101"/>
      <c r="C34" s="101"/>
      <c r="D34" s="101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01" t="s">
        <v>72</v>
      </c>
      <c r="B39" s="101"/>
      <c r="C39" s="101"/>
      <c r="D39" s="101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f>83667.15+10906.58</f>
        <v>94573.73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94573.73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10885.23+102805.7</f>
        <v>113690.93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D52+D72+D82</f>
        <v>113690.94</v>
      </c>
    </row>
    <row r="46" spans="1:4" s="9" customFormat="1" ht="15" customHeight="1">
      <c r="A46" s="101" t="s">
        <v>81</v>
      </c>
      <c r="B46" s="101"/>
      <c r="C46" s="101"/>
      <c r="D46" s="101"/>
    </row>
    <row r="47" spans="1:4" s="9" customFormat="1" ht="15" customHeight="1">
      <c r="A47" s="6" t="s">
        <v>82</v>
      </c>
      <c r="B47" s="16" t="s">
        <v>83</v>
      </c>
      <c r="C47" s="8" t="s">
        <v>7</v>
      </c>
      <c r="D47" s="67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D50/27.027</f>
        <v>7637.122877122876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f>190724.52+15684</f>
        <v>206408.52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f>15704.06+187132.88</f>
        <v>202836.94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f>19293.05+1352.01</f>
        <v>20645.059999999998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v>246413.74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168332.41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120527.47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8.5">
      <c r="A57" s="6" t="s">
        <v>82</v>
      </c>
      <c r="B57" s="16" t="s">
        <v>83</v>
      </c>
      <c r="C57" s="8" t="s">
        <v>7</v>
      </c>
      <c r="D57" s="71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71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</f>
        <v>7637.122877122876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f>101682.62+8605.91</f>
        <v>110288.53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f>8616.93+99767.78</f>
        <v>108384.70999999999</v>
      </c>
    </row>
    <row r="72" spans="1:4" s="9" customFormat="1" ht="15" customHeight="1">
      <c r="A72" s="6">
        <v>7</v>
      </c>
      <c r="B72" s="15" t="s">
        <v>96</v>
      </c>
      <c r="C72" s="8" t="s">
        <v>16</v>
      </c>
      <c r="D72" s="17">
        <f>10285.87+741.86</f>
        <v>11027.730000000001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v>106870.56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70913.19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50774.46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71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v>553.1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f>723895.21+156990.89</f>
        <v>880886.1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f>710263.14+156981.16</f>
        <v>867244.3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f>73226.79+8791.36</f>
        <v>82018.15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v>865944.67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654885.77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331124.24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101" t="s">
        <v>138</v>
      </c>
      <c r="B87" s="101"/>
      <c r="C87" s="101"/>
      <c r="D87" s="101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01" t="s">
        <v>143</v>
      </c>
      <c r="B92" s="101"/>
      <c r="C92" s="101"/>
      <c r="D92" s="101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88">
        <v>10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88">
        <v>1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53040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72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939205.8404999999</v>
      </c>
    </row>
    <row r="103" spans="1:4" ht="15" hidden="1">
      <c r="A103" s="27">
        <v>1</v>
      </c>
      <c r="B103" s="32" t="s">
        <v>155</v>
      </c>
      <c r="C103" s="33"/>
      <c r="D103" s="34">
        <v>128058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68268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23326.87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0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0</v>
      </c>
    </row>
    <row r="108" spans="1:4" ht="15" hidden="1">
      <c r="A108" s="27" t="s">
        <v>7</v>
      </c>
      <c r="B108" s="40" t="s">
        <v>160</v>
      </c>
      <c r="C108" s="37"/>
      <c r="D108" s="34"/>
    </row>
    <row r="109" spans="1:4" ht="15" hidden="1">
      <c r="A109" s="27"/>
      <c r="B109" s="41" t="s">
        <v>161</v>
      </c>
      <c r="C109" s="37"/>
      <c r="D109" s="34"/>
    </row>
    <row r="110" spans="1:4" ht="15" hidden="1">
      <c r="A110" s="27"/>
      <c r="B110" s="41" t="s">
        <v>162</v>
      </c>
      <c r="C110" s="37"/>
      <c r="D110" s="34"/>
    </row>
    <row r="111" spans="1:4" ht="15" hidden="1">
      <c r="A111" s="27" t="s">
        <v>7</v>
      </c>
      <c r="B111" s="42" t="s">
        <v>163</v>
      </c>
      <c r="C111" s="37"/>
      <c r="D111" s="34"/>
    </row>
    <row r="112" spans="1:4" ht="15" hidden="1">
      <c r="A112" s="43" t="s">
        <v>7</v>
      </c>
      <c r="B112" s="44" t="s">
        <v>185</v>
      </c>
      <c r="C112" s="45"/>
      <c r="D112" s="73"/>
    </row>
    <row r="113" spans="1:4" ht="60" hidden="1">
      <c r="A113" s="27">
        <f>SUM(A107)+1</f>
        <v>6</v>
      </c>
      <c r="B113" s="47" t="s">
        <v>164</v>
      </c>
      <c r="C113" s="48"/>
      <c r="D113" s="34">
        <f>D114+D115+D116+D117+D124+D125+D136</f>
        <v>233097.77</v>
      </c>
    </row>
    <row r="114" spans="1:4" ht="45" hidden="1">
      <c r="A114" s="49" t="s">
        <v>7</v>
      </c>
      <c r="B114" s="50" t="s">
        <v>165</v>
      </c>
      <c r="C114" s="51"/>
      <c r="D114" s="52">
        <v>133397</v>
      </c>
    </row>
    <row r="115" spans="1:4" ht="15" hidden="1">
      <c r="A115" s="53" t="s">
        <v>7</v>
      </c>
      <c r="B115" s="54" t="s">
        <v>166</v>
      </c>
      <c r="C115" s="37"/>
      <c r="D115" s="34">
        <v>41220</v>
      </c>
    </row>
    <row r="116" spans="1:4" ht="15" hidden="1">
      <c r="A116" s="53" t="s">
        <v>7</v>
      </c>
      <c r="B116" s="54" t="s">
        <v>167</v>
      </c>
      <c r="C116" s="37"/>
      <c r="D116" s="34">
        <v>6948.77</v>
      </c>
    </row>
    <row r="117" spans="1:4" ht="15" hidden="1">
      <c r="A117" s="53" t="s">
        <v>7</v>
      </c>
      <c r="B117" s="54" t="s">
        <v>168</v>
      </c>
      <c r="C117" s="37"/>
      <c r="D117" s="34">
        <f>SUM(D118:D123)</f>
        <v>8752</v>
      </c>
    </row>
    <row r="118" spans="1:4" ht="15" hidden="1">
      <c r="A118" s="53"/>
      <c r="B118" s="54" t="s">
        <v>207</v>
      </c>
      <c r="C118" s="37"/>
      <c r="D118" s="34">
        <v>1423</v>
      </c>
    </row>
    <row r="119" spans="1:4" ht="15" hidden="1">
      <c r="A119" s="53"/>
      <c r="B119" s="54" t="s">
        <v>208</v>
      </c>
      <c r="C119" s="37"/>
      <c r="D119" s="34">
        <v>7329</v>
      </c>
    </row>
    <row r="120" spans="1:4" ht="15" hidden="1">
      <c r="A120" s="53"/>
      <c r="B120" s="54"/>
      <c r="C120" s="37"/>
      <c r="D120" s="34"/>
    </row>
    <row r="121" spans="1:4" ht="15" hidden="1">
      <c r="A121" s="53"/>
      <c r="B121" s="54"/>
      <c r="C121" s="37"/>
      <c r="D121" s="34"/>
    </row>
    <row r="122" spans="1:4" ht="15" hidden="1">
      <c r="A122" s="53"/>
      <c r="B122" s="54"/>
      <c r="C122" s="37"/>
      <c r="D122" s="34"/>
    </row>
    <row r="123" spans="1:4" ht="15" hidden="1">
      <c r="A123" s="53"/>
      <c r="B123" s="54"/>
      <c r="C123" s="37"/>
      <c r="D123" s="34"/>
    </row>
    <row r="124" spans="1:4" ht="15" hidden="1">
      <c r="A124" s="53" t="s">
        <v>7</v>
      </c>
      <c r="B124" s="54" t="s">
        <v>169</v>
      </c>
      <c r="C124" s="37"/>
      <c r="D124" s="34">
        <v>27044</v>
      </c>
    </row>
    <row r="125" spans="1:4" ht="15" hidden="1">
      <c r="A125" s="53" t="s">
        <v>7</v>
      </c>
      <c r="B125" s="54" t="s">
        <v>170</v>
      </c>
      <c r="C125" s="37"/>
      <c r="D125" s="34">
        <f>SUM(D126:D135)</f>
        <v>0</v>
      </c>
    </row>
    <row r="126" spans="1:4" ht="15" hidden="1">
      <c r="A126" s="53"/>
      <c r="B126" s="54"/>
      <c r="C126" s="37"/>
      <c r="D126" s="34"/>
    </row>
    <row r="127" spans="1:4" ht="15" hidden="1">
      <c r="A127" s="53"/>
      <c r="B127" s="54"/>
      <c r="C127" s="37"/>
      <c r="D127" s="34"/>
    </row>
    <row r="128" spans="1:4" ht="15" hidden="1">
      <c r="A128" s="53"/>
      <c r="B128" s="54"/>
      <c r="C128" s="37"/>
      <c r="D128" s="34"/>
    </row>
    <row r="129" spans="1:4" ht="15" hidden="1">
      <c r="A129" s="53"/>
      <c r="B129" s="54"/>
      <c r="C129" s="37"/>
      <c r="D129" s="34"/>
    </row>
    <row r="130" spans="1:4" ht="15" hidden="1">
      <c r="A130" s="53"/>
      <c r="B130" s="54"/>
      <c r="C130" s="37"/>
      <c r="D130" s="34"/>
    </row>
    <row r="131" spans="1:4" ht="15" hidden="1">
      <c r="A131" s="53"/>
      <c r="B131" s="54"/>
      <c r="C131" s="37"/>
      <c r="D131" s="34"/>
    </row>
    <row r="132" spans="1:4" ht="15" hidden="1">
      <c r="A132" s="53"/>
      <c r="B132" s="54"/>
      <c r="C132" s="37"/>
      <c r="D132" s="34"/>
    </row>
    <row r="133" spans="1:4" ht="15" hidden="1">
      <c r="A133" s="53"/>
      <c r="B133" s="54"/>
      <c r="C133" s="37"/>
      <c r="D133" s="34"/>
    </row>
    <row r="134" spans="1:4" ht="15" hidden="1">
      <c r="A134" s="53"/>
      <c r="B134" s="54"/>
      <c r="C134" s="37"/>
      <c r="D134" s="34"/>
    </row>
    <row r="135" spans="1:4" ht="15" hidden="1">
      <c r="A135" s="53"/>
      <c r="B135" s="54"/>
      <c r="C135" s="37"/>
      <c r="D135" s="34"/>
    </row>
    <row r="136" spans="1:4" ht="15" hidden="1">
      <c r="A136" s="53" t="s">
        <v>7</v>
      </c>
      <c r="B136" s="55" t="s">
        <v>171</v>
      </c>
      <c r="C136" s="37"/>
      <c r="D136" s="34">
        <f>SUM(D137:D141)</f>
        <v>15736</v>
      </c>
    </row>
    <row r="137" spans="1:4" ht="15" hidden="1">
      <c r="A137" s="53"/>
      <c r="B137" s="56" t="s">
        <v>172</v>
      </c>
      <c r="C137" s="37"/>
      <c r="D137" s="34">
        <v>1950</v>
      </c>
    </row>
    <row r="138" spans="1:4" ht="15" hidden="1">
      <c r="A138" s="53"/>
      <c r="B138" s="56" t="s">
        <v>173</v>
      </c>
      <c r="C138" s="37"/>
      <c r="D138" s="34">
        <v>5878</v>
      </c>
    </row>
    <row r="139" spans="1:4" ht="15" hidden="1">
      <c r="A139" s="53"/>
      <c r="B139" s="56" t="s">
        <v>174</v>
      </c>
      <c r="C139" s="37"/>
      <c r="D139" s="34">
        <v>3386</v>
      </c>
    </row>
    <row r="140" spans="1:4" ht="15" hidden="1">
      <c r="A140" s="53"/>
      <c r="B140" s="56" t="s">
        <v>175</v>
      </c>
      <c r="C140" s="37"/>
      <c r="D140" s="34">
        <v>1258</v>
      </c>
    </row>
    <row r="141" spans="1:4" ht="15" hidden="1">
      <c r="A141" s="53"/>
      <c r="B141" s="56" t="s">
        <v>176</v>
      </c>
      <c r="C141" s="37"/>
      <c r="D141" s="34">
        <v>3264</v>
      </c>
    </row>
    <row r="142" spans="1:4" ht="15" hidden="1">
      <c r="A142" s="27">
        <v>7</v>
      </c>
      <c r="B142" s="32" t="s">
        <v>177</v>
      </c>
      <c r="C142" s="57"/>
      <c r="D142" s="58"/>
    </row>
    <row r="143" spans="1:4" ht="15" hidden="1">
      <c r="A143" s="27">
        <f>SUM(A142)+1</f>
        <v>8</v>
      </c>
      <c r="B143" s="32" t="s">
        <v>178</v>
      </c>
      <c r="C143" s="57"/>
      <c r="D143" s="34">
        <v>21739.98</v>
      </c>
    </row>
    <row r="144" spans="1:4" ht="15" hidden="1">
      <c r="A144" s="27">
        <f>SUM(A143)+1</f>
        <v>9</v>
      </c>
      <c r="B144" s="32" t="s">
        <v>179</v>
      </c>
      <c r="C144" s="37"/>
      <c r="D144" s="34">
        <v>170983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1084.99</v>
      </c>
    </row>
    <row r="146" spans="1:4" ht="15" hidden="1">
      <c r="A146" s="27">
        <v>11</v>
      </c>
      <c r="B146" s="32" t="s">
        <v>181</v>
      </c>
      <c r="C146" s="33"/>
      <c r="D146" s="34">
        <f>D147+10935+87861+117450</f>
        <v>285039.2305</v>
      </c>
    </row>
    <row r="147" spans="1:4" ht="30" hidden="1">
      <c r="A147" s="28" t="s">
        <v>182</v>
      </c>
      <c r="B147" s="59" t="s">
        <v>183</v>
      </c>
      <c r="C147" s="60"/>
      <c r="D147" s="64">
        <f>52*78.5*12+(983759.25+997163.8)*0.01</f>
        <v>68793.2305</v>
      </c>
    </row>
    <row r="148" spans="1:4" ht="30" hidden="1">
      <c r="A148" s="61">
        <v>12</v>
      </c>
      <c r="B148" s="62" t="s">
        <v>184</v>
      </c>
      <c r="C148" s="33"/>
      <c r="D148" s="34">
        <v>7608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48"/>
  <sheetViews>
    <sheetView tabSelected="1" view="pageLayout" zoomScaleSheetLayoutView="130" workbookViewId="0" topLeftCell="A1">
      <selection activeCell="D14" sqref="D14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8.7109375" style="1" customWidth="1"/>
    <col min="4" max="4" width="24.421875" style="66" customWidth="1"/>
    <col min="5" max="16384" width="9.140625" style="1" customWidth="1"/>
  </cols>
  <sheetData>
    <row r="1" spans="1:4" ht="16.5" customHeight="1">
      <c r="A1" s="102" t="s">
        <v>0</v>
      </c>
      <c r="B1" s="102"/>
      <c r="C1" s="102"/>
      <c r="D1" s="102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7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87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87">
        <v>42369</v>
      </c>
    </row>
    <row r="7" spans="1:4" s="9" customFormat="1" ht="29.25" customHeight="1">
      <c r="A7" s="103" t="s">
        <v>13</v>
      </c>
      <c r="B7" s="103"/>
      <c r="C7" s="103"/>
      <c r="D7" s="103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8">
        <v>137341.98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8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8">
        <f>D8</f>
        <v>137341.98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548560.8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v>539036.94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539036.94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539036.94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146865.84000000008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146865.84000000008</v>
      </c>
    </row>
    <row r="25" spans="1:4" s="9" customFormat="1" ht="29.25" customHeight="1">
      <c r="A25" s="101" t="s">
        <v>49</v>
      </c>
      <c r="B25" s="101"/>
      <c r="C25" s="101"/>
      <c r="D25" s="101"/>
    </row>
    <row r="26" spans="1:4" s="9" customFormat="1" ht="15">
      <c r="A26" s="6"/>
      <c r="B26" s="7" t="s">
        <v>50</v>
      </c>
      <c r="C26" s="18"/>
      <c r="D26" s="69"/>
    </row>
    <row r="27" spans="1:4" s="9" customFormat="1" ht="15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5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5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5">
      <c r="A30" s="6"/>
      <c r="B30" s="7" t="s">
        <v>58</v>
      </c>
      <c r="C30" s="8"/>
      <c r="D30" s="17"/>
    </row>
    <row r="31" spans="1:4" s="9" customFormat="1" ht="15">
      <c r="A31" s="19" t="s">
        <v>59</v>
      </c>
      <c r="B31" s="16" t="s">
        <v>52</v>
      </c>
      <c r="C31" s="8" t="s">
        <v>7</v>
      </c>
      <c r="D31" s="70">
        <v>0</v>
      </c>
    </row>
    <row r="32" spans="1:4" s="9" customFormat="1" ht="15">
      <c r="A32" s="19" t="s">
        <v>60</v>
      </c>
      <c r="B32" s="16" t="s">
        <v>55</v>
      </c>
      <c r="C32" s="8" t="s">
        <v>7</v>
      </c>
      <c r="D32" s="70">
        <v>0</v>
      </c>
    </row>
    <row r="33" spans="1:4" s="9" customFormat="1" ht="15">
      <c r="A33" s="19" t="s">
        <v>61</v>
      </c>
      <c r="B33" s="16" t="s">
        <v>57</v>
      </c>
      <c r="C33" s="8" t="s">
        <v>7</v>
      </c>
      <c r="D33" s="70">
        <v>0</v>
      </c>
    </row>
    <row r="34" spans="1:4" s="9" customFormat="1" ht="16.5" customHeight="1">
      <c r="A34" s="101" t="s">
        <v>62</v>
      </c>
      <c r="B34" s="101"/>
      <c r="C34" s="101"/>
      <c r="D34" s="101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01" t="s">
        <v>72</v>
      </c>
      <c r="B39" s="101"/>
      <c r="C39" s="101"/>
      <c r="D39" s="101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0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v>0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44085.14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D52+D72+D82</f>
        <v>44085.14</v>
      </c>
    </row>
    <row r="46" spans="1:4" s="9" customFormat="1" ht="15" customHeight="1">
      <c r="A46" s="101" t="s">
        <v>81</v>
      </c>
      <c r="B46" s="101"/>
      <c r="C46" s="101"/>
      <c r="D46" s="101"/>
    </row>
    <row r="47" spans="1:4" s="9" customFormat="1" ht="15.75" customHeight="1">
      <c r="A47" s="6" t="s">
        <v>82</v>
      </c>
      <c r="B47" s="16" t="s">
        <v>83</v>
      </c>
      <c r="C47" s="8" t="s">
        <v>7</v>
      </c>
      <c r="D47" s="67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D50/28.07</f>
        <v>3028.9070181688635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85021.42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76017.25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9004.17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85021.42</f>
        <v>85021.42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103297.16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-4586.31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8.5">
      <c r="A57" s="6" t="s">
        <v>82</v>
      </c>
      <c r="B57" s="16" t="s">
        <v>83</v>
      </c>
      <c r="C57" s="8" t="s">
        <v>7</v>
      </c>
      <c r="D57" s="71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71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</f>
        <v>3028.9070181688635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46645.75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41705.74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4940.01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46645.75</f>
        <v>46645.75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61949.64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-2750.51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71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D80/1734.01</f>
        <v>164.13081816137162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v>284604.48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254463.52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v>30140.96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f>D80</f>
        <v>284604.48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290088.69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13519.7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101" t="s">
        <v>138</v>
      </c>
      <c r="B87" s="101"/>
      <c r="C87" s="101"/>
      <c r="D87" s="101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01" t="s">
        <v>143</v>
      </c>
      <c r="B92" s="101"/>
      <c r="C92" s="101"/>
      <c r="D92" s="101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88">
        <v>4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88">
        <v>1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19123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72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490327.01449999993</v>
      </c>
    </row>
    <row r="103" spans="1:4" ht="15" hidden="1">
      <c r="A103" s="27">
        <v>1</v>
      </c>
      <c r="B103" s="32" t="s">
        <v>155</v>
      </c>
      <c r="C103" s="33"/>
      <c r="D103" s="34">
        <v>72090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38431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6360.45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0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0</v>
      </c>
    </row>
    <row r="108" spans="1:4" ht="15" hidden="1">
      <c r="A108" s="27" t="s">
        <v>7</v>
      </c>
      <c r="B108" s="40" t="s">
        <v>160</v>
      </c>
      <c r="C108" s="37"/>
      <c r="D108" s="34"/>
    </row>
    <row r="109" spans="1:4" ht="15" hidden="1">
      <c r="A109" s="27"/>
      <c r="B109" s="41" t="s">
        <v>161</v>
      </c>
      <c r="C109" s="37"/>
      <c r="D109" s="34"/>
    </row>
    <row r="110" spans="1:4" ht="15" hidden="1">
      <c r="A110" s="27"/>
      <c r="B110" s="41" t="s">
        <v>162</v>
      </c>
      <c r="C110" s="37"/>
      <c r="D110" s="34"/>
    </row>
    <row r="111" spans="1:4" ht="15" hidden="1">
      <c r="A111" s="27" t="s">
        <v>7</v>
      </c>
      <c r="B111" s="42" t="s">
        <v>163</v>
      </c>
      <c r="C111" s="37"/>
      <c r="D111" s="34"/>
    </row>
    <row r="112" spans="1:4" ht="15" hidden="1">
      <c r="A112" s="43" t="s">
        <v>7</v>
      </c>
      <c r="B112" s="44" t="s">
        <v>185</v>
      </c>
      <c r="C112" s="45"/>
      <c r="D112" s="73"/>
    </row>
    <row r="113" spans="1:4" ht="60" hidden="1">
      <c r="A113" s="27">
        <f>SUM(A107)+1</f>
        <v>6</v>
      </c>
      <c r="B113" s="47" t="s">
        <v>164</v>
      </c>
      <c r="C113" s="48"/>
      <c r="D113" s="34">
        <f>D114+D115+D116+D117+D124+D125+D136</f>
        <v>106579.78</v>
      </c>
    </row>
    <row r="114" spans="1:4" ht="45" hidden="1">
      <c r="A114" s="49" t="s">
        <v>7</v>
      </c>
      <c r="B114" s="50" t="s">
        <v>165</v>
      </c>
      <c r="C114" s="51"/>
      <c r="D114" s="52">
        <v>62530</v>
      </c>
    </row>
    <row r="115" spans="1:4" ht="15" hidden="1">
      <c r="A115" s="53" t="s">
        <v>7</v>
      </c>
      <c r="B115" s="54" t="s">
        <v>166</v>
      </c>
      <c r="C115" s="37"/>
      <c r="D115" s="34">
        <v>19322</v>
      </c>
    </row>
    <row r="116" spans="1:4" ht="15" hidden="1">
      <c r="A116" s="53" t="s">
        <v>7</v>
      </c>
      <c r="B116" s="54" t="s">
        <v>167</v>
      </c>
      <c r="C116" s="37"/>
      <c r="D116" s="34">
        <v>4277.78</v>
      </c>
    </row>
    <row r="117" spans="1:4" ht="15" hidden="1">
      <c r="A117" s="53" t="s">
        <v>7</v>
      </c>
      <c r="B117" s="54" t="s">
        <v>168</v>
      </c>
      <c r="C117" s="37"/>
      <c r="D117" s="34">
        <f>SUM(D118:D123)</f>
        <v>659</v>
      </c>
    </row>
    <row r="118" spans="1:4" ht="15" hidden="1">
      <c r="A118" s="53"/>
      <c r="B118" s="54" t="s">
        <v>207</v>
      </c>
      <c r="C118" s="37"/>
      <c r="D118" s="34">
        <v>659</v>
      </c>
    </row>
    <row r="119" spans="1:4" ht="15" hidden="1">
      <c r="A119" s="53"/>
      <c r="B119" s="54"/>
      <c r="C119" s="37"/>
      <c r="D119" s="34"/>
    </row>
    <row r="120" spans="1:4" ht="15" hidden="1">
      <c r="A120" s="53"/>
      <c r="B120" s="54"/>
      <c r="C120" s="37"/>
      <c r="D120" s="34"/>
    </row>
    <row r="121" spans="1:4" ht="15" hidden="1">
      <c r="A121" s="53"/>
      <c r="B121" s="54"/>
      <c r="C121" s="37"/>
      <c r="D121" s="34"/>
    </row>
    <row r="122" spans="1:4" ht="15" hidden="1">
      <c r="A122" s="53"/>
      <c r="B122" s="54"/>
      <c r="C122" s="37"/>
      <c r="D122" s="34"/>
    </row>
    <row r="123" spans="1:4" ht="15" hidden="1">
      <c r="A123" s="53"/>
      <c r="B123" s="54"/>
      <c r="C123" s="37"/>
      <c r="D123" s="34"/>
    </row>
    <row r="124" spans="1:4" ht="15" hidden="1">
      <c r="A124" s="53" t="s">
        <v>7</v>
      </c>
      <c r="B124" s="54" t="s">
        <v>169</v>
      </c>
      <c r="C124" s="37"/>
      <c r="D124" s="34">
        <v>12511</v>
      </c>
    </row>
    <row r="125" spans="1:4" ht="15" hidden="1">
      <c r="A125" s="53" t="s">
        <v>7</v>
      </c>
      <c r="B125" s="54" t="s">
        <v>170</v>
      </c>
      <c r="C125" s="37"/>
      <c r="D125" s="34">
        <f>SUM(D126:D135)</f>
        <v>0</v>
      </c>
    </row>
    <row r="126" spans="1:4" ht="15" hidden="1">
      <c r="A126" s="53"/>
      <c r="B126" s="54"/>
      <c r="C126" s="37"/>
      <c r="D126" s="34"/>
    </row>
    <row r="127" spans="1:4" ht="15" hidden="1">
      <c r="A127" s="53"/>
      <c r="B127" s="54"/>
      <c r="C127" s="37"/>
      <c r="D127" s="34"/>
    </row>
    <row r="128" spans="1:4" ht="15" hidden="1">
      <c r="A128" s="53"/>
      <c r="B128" s="54"/>
      <c r="C128" s="37"/>
      <c r="D128" s="34"/>
    </row>
    <row r="129" spans="1:4" ht="15" hidden="1">
      <c r="A129" s="53"/>
      <c r="B129" s="54"/>
      <c r="C129" s="37"/>
      <c r="D129" s="34"/>
    </row>
    <row r="130" spans="1:4" ht="15" hidden="1">
      <c r="A130" s="53"/>
      <c r="B130" s="54"/>
      <c r="C130" s="37"/>
      <c r="D130" s="34"/>
    </row>
    <row r="131" spans="1:4" ht="15" hidden="1">
      <c r="A131" s="53"/>
      <c r="B131" s="54"/>
      <c r="C131" s="37"/>
      <c r="D131" s="34"/>
    </row>
    <row r="132" spans="1:4" ht="15" hidden="1">
      <c r="A132" s="53"/>
      <c r="B132" s="54"/>
      <c r="C132" s="37"/>
      <c r="D132" s="34"/>
    </row>
    <row r="133" spans="1:4" ht="15" hidden="1">
      <c r="A133" s="53"/>
      <c r="B133" s="54"/>
      <c r="C133" s="37"/>
      <c r="D133" s="34"/>
    </row>
    <row r="134" spans="1:4" ht="15" hidden="1">
      <c r="A134" s="53"/>
      <c r="B134" s="54"/>
      <c r="C134" s="37"/>
      <c r="D134" s="34"/>
    </row>
    <row r="135" spans="1:4" ht="15" hidden="1">
      <c r="A135" s="53"/>
      <c r="B135" s="54"/>
      <c r="C135" s="37"/>
      <c r="D135" s="34"/>
    </row>
    <row r="136" spans="1:4" ht="15" hidden="1">
      <c r="A136" s="53" t="s">
        <v>7</v>
      </c>
      <c r="B136" s="55" t="s">
        <v>171</v>
      </c>
      <c r="C136" s="37"/>
      <c r="D136" s="34">
        <f>SUM(D137:D141)</f>
        <v>7280</v>
      </c>
    </row>
    <row r="137" spans="1:4" ht="15" hidden="1">
      <c r="A137" s="53"/>
      <c r="B137" s="56" t="s">
        <v>172</v>
      </c>
      <c r="C137" s="37"/>
      <c r="D137" s="34">
        <v>902</v>
      </c>
    </row>
    <row r="138" spans="1:4" ht="15" hidden="1">
      <c r="A138" s="53"/>
      <c r="B138" s="56" t="s">
        <v>173</v>
      </c>
      <c r="C138" s="37"/>
      <c r="D138" s="34">
        <v>2719</v>
      </c>
    </row>
    <row r="139" spans="1:4" ht="15" hidden="1">
      <c r="A139" s="53"/>
      <c r="B139" s="56" t="s">
        <v>174</v>
      </c>
      <c r="C139" s="37"/>
      <c r="D139" s="34">
        <v>1567</v>
      </c>
    </row>
    <row r="140" spans="1:4" ht="15" hidden="1">
      <c r="A140" s="53"/>
      <c r="B140" s="56" t="s">
        <v>175</v>
      </c>
      <c r="C140" s="37"/>
      <c r="D140" s="34">
        <v>582</v>
      </c>
    </row>
    <row r="141" spans="1:4" ht="15" hidden="1">
      <c r="A141" s="53"/>
      <c r="B141" s="56" t="s">
        <v>176</v>
      </c>
      <c r="C141" s="37"/>
      <c r="D141" s="34">
        <v>1510</v>
      </c>
    </row>
    <row r="142" spans="1:4" ht="15" hidden="1">
      <c r="A142" s="27">
        <v>7</v>
      </c>
      <c r="B142" s="32" t="s">
        <v>177</v>
      </c>
      <c r="C142" s="57"/>
      <c r="D142" s="34">
        <v>21595.91</v>
      </c>
    </row>
    <row r="143" spans="1:4" ht="15" hidden="1">
      <c r="A143" s="27">
        <f>SUM(A142)+1</f>
        <v>8</v>
      </c>
      <c r="B143" s="32" t="s">
        <v>178</v>
      </c>
      <c r="C143" s="57"/>
      <c r="D143" s="34">
        <v>14052.09</v>
      </c>
    </row>
    <row r="144" spans="1:4" ht="15" hidden="1">
      <c r="A144" s="27">
        <f>SUM(A143)+1</f>
        <v>9</v>
      </c>
      <c r="B144" s="32" t="s">
        <v>179</v>
      </c>
      <c r="C144" s="37"/>
      <c r="D144" s="34">
        <v>79099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826.55</v>
      </c>
    </row>
    <row r="146" spans="1:4" ht="15" hidden="1">
      <c r="A146" s="27">
        <v>11</v>
      </c>
      <c r="B146" s="32" t="s">
        <v>181</v>
      </c>
      <c r="C146" s="33"/>
      <c r="D146" s="34">
        <f>D147+5059+40646+54334</f>
        <v>147773.2345</v>
      </c>
    </row>
    <row r="147" spans="1:4" ht="30" hidden="1">
      <c r="A147" s="28" t="s">
        <v>182</v>
      </c>
      <c r="B147" s="59" t="s">
        <v>183</v>
      </c>
      <c r="C147" s="60"/>
      <c r="D147" s="64">
        <f>41*78.5*12+(539036.94+372186.51)*0.01</f>
        <v>47734.2345</v>
      </c>
    </row>
    <row r="148" spans="1:4" ht="30" hidden="1">
      <c r="A148" s="61">
        <v>12</v>
      </c>
      <c r="B148" s="62" t="s">
        <v>184</v>
      </c>
      <c r="C148" s="33"/>
      <c r="D148" s="34">
        <v>3519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U289"/>
  <sheetViews>
    <sheetView zoomScalePageLayoutView="0" workbookViewId="0" topLeftCell="D238">
      <selection activeCell="L252" sqref="L252"/>
    </sheetView>
  </sheetViews>
  <sheetFormatPr defaultColWidth="9.140625" defaultRowHeight="15"/>
  <cols>
    <col min="2" max="2" width="47.57421875" style="0" customWidth="1"/>
    <col min="4" max="15" width="20.421875" style="0" customWidth="1"/>
    <col min="16" max="19" width="19.421875" style="0" customWidth="1"/>
    <col min="20" max="20" width="22.140625" style="0" customWidth="1"/>
    <col min="21" max="21" width="21.28125" style="0" customWidth="1"/>
  </cols>
  <sheetData>
    <row r="1" spans="1:4" ht="15">
      <c r="A1" s="110" t="s">
        <v>188</v>
      </c>
      <c r="B1" s="110"/>
      <c r="C1" s="110"/>
      <c r="D1" s="110"/>
    </row>
    <row r="2" spans="4:21" ht="15">
      <c r="D2" s="74" t="s">
        <v>189</v>
      </c>
      <c r="E2" s="74" t="s">
        <v>190</v>
      </c>
      <c r="F2" s="74" t="s">
        <v>191</v>
      </c>
      <c r="G2" s="74" t="s">
        <v>192</v>
      </c>
      <c r="H2" s="74" t="s">
        <v>193</v>
      </c>
      <c r="I2" s="74" t="s">
        <v>194</v>
      </c>
      <c r="J2" s="74" t="s">
        <v>195</v>
      </c>
      <c r="K2" s="74" t="s">
        <v>196</v>
      </c>
      <c r="L2" s="74" t="s">
        <v>197</v>
      </c>
      <c r="M2" s="74" t="s">
        <v>198</v>
      </c>
      <c r="N2" s="74" t="s">
        <v>199</v>
      </c>
      <c r="O2" s="74" t="s">
        <v>200</v>
      </c>
      <c r="P2" s="74" t="s">
        <v>201</v>
      </c>
      <c r="Q2" s="74" t="s">
        <v>202</v>
      </c>
      <c r="R2" s="74" t="s">
        <v>203</v>
      </c>
      <c r="S2" s="74" t="s">
        <v>204</v>
      </c>
      <c r="T2" s="74" t="s">
        <v>205</v>
      </c>
      <c r="U2" s="100" t="s">
        <v>206</v>
      </c>
    </row>
    <row r="3" spans="1:21" ht="29.25" customHeight="1">
      <c r="A3" s="10" t="s">
        <v>14</v>
      </c>
      <c r="B3" s="11" t="s">
        <v>15</v>
      </c>
      <c r="C3" s="12" t="s">
        <v>16</v>
      </c>
      <c r="D3" s="68">
        <f>'Полярный пр-зд 5а'!D8</f>
        <v>106190.29</v>
      </c>
      <c r="E3" s="76">
        <f>'Ленина 32-16'!D8</f>
        <v>387165.79000000004</v>
      </c>
      <c r="F3" s="76">
        <f>'Ленина 34'!D8</f>
        <v>198167.32</v>
      </c>
      <c r="G3" s="76">
        <f>'Ленина 35-20'!D8</f>
        <v>497325.94999999995</v>
      </c>
      <c r="H3" s="76">
        <f>'Ленина 35а'!D8</f>
        <v>263265.4</v>
      </c>
      <c r="I3" s="76">
        <f>'Ленина 36'!D8</f>
        <v>275539.47</v>
      </c>
      <c r="J3" s="76">
        <f>'Ленина 38-7'!D8</f>
        <v>450289.44</v>
      </c>
      <c r="K3" s="76">
        <f>'Ленина 39'!D8</f>
        <v>248536.06</v>
      </c>
      <c r="L3" s="76">
        <f>'Ленина 45'!D8</f>
        <v>116045.33</v>
      </c>
      <c r="M3" s="76">
        <f>'Ленина 47-12'!D8</f>
        <v>631361.53</v>
      </c>
      <c r="N3" s="76">
        <f>'Корешкова 6'!D8</f>
        <v>354511.81999999995</v>
      </c>
      <c r="O3" s="76">
        <f>'Корешкова 8-50'!D8</f>
        <v>439326.11000000004</v>
      </c>
      <c r="P3" s="76">
        <f>'Первомайская 46а'!D8</f>
        <v>118501.55</v>
      </c>
      <c r="Q3" s="76">
        <f>'Первомайская 48'!D8</f>
        <v>384864.83</v>
      </c>
      <c r="R3" s="76">
        <f>'Советская 12-1'!D8</f>
        <v>240458.14</v>
      </c>
      <c r="S3" s="76">
        <f>'Советская 14'!D8</f>
        <v>207535.01</v>
      </c>
      <c r="T3" s="76">
        <f>'пр-зд Чернышевского 18а'!D8</f>
        <v>137341.98</v>
      </c>
      <c r="U3" s="76">
        <f>SUM(D3:T3)</f>
        <v>5056426.02</v>
      </c>
    </row>
    <row r="4" spans="1:21" ht="13.5" customHeight="1">
      <c r="A4" s="10" t="s">
        <v>17</v>
      </c>
      <c r="B4" s="13" t="s">
        <v>18</v>
      </c>
      <c r="C4" s="12" t="s">
        <v>16</v>
      </c>
      <c r="D4" s="68">
        <f>'Полярный пр-зд 5а'!D9</f>
        <v>0</v>
      </c>
      <c r="E4" s="76">
        <f>'Ленина 32-16'!D9</f>
        <v>0</v>
      </c>
      <c r="F4" s="76">
        <f>'Ленина 34'!D9</f>
        <v>0</v>
      </c>
      <c r="G4" s="76">
        <f>'Ленина 35-20'!D9</f>
        <v>0</v>
      </c>
      <c r="H4" s="76">
        <f>'Ленина 35а'!D9</f>
        <v>0</v>
      </c>
      <c r="I4" s="76">
        <f>'Ленина 36'!D9</f>
        <v>0</v>
      </c>
      <c r="J4" s="76">
        <f>'Ленина 38-7'!D9</f>
        <v>0</v>
      </c>
      <c r="K4" s="76">
        <f>'Ленина 39'!D9</f>
        <v>0</v>
      </c>
      <c r="L4" s="76">
        <f>'Ленина 45'!D9</f>
        <v>0</v>
      </c>
      <c r="M4" s="76">
        <f>'Ленина 47-12'!D9</f>
        <v>0</v>
      </c>
      <c r="N4" s="76">
        <f>'Корешкова 6'!D9</f>
        <v>0</v>
      </c>
      <c r="O4" s="76">
        <f>'Корешкова 8-50'!D9</f>
        <v>0</v>
      </c>
      <c r="P4" s="76">
        <f>'Первомайская 46а'!D9</f>
        <v>0</v>
      </c>
      <c r="Q4" s="76">
        <f>'Первомайская 48'!D9</f>
        <v>0</v>
      </c>
      <c r="R4" s="76">
        <f>'Советская 12-1'!D9</f>
        <v>0</v>
      </c>
      <c r="S4" s="76">
        <f>'Советская 14'!D9</f>
        <v>0</v>
      </c>
      <c r="T4" s="76">
        <f>'пр-зд Чернышевского 18а'!D9</f>
        <v>0</v>
      </c>
      <c r="U4" s="76">
        <f aca="true" t="shared" si="0" ref="U4:U67">SUM(D4:T4)</f>
        <v>0</v>
      </c>
    </row>
    <row r="5" spans="1:21" ht="13.5" customHeight="1">
      <c r="A5" s="10" t="s">
        <v>19</v>
      </c>
      <c r="B5" s="13" t="s">
        <v>20</v>
      </c>
      <c r="C5" s="12" t="s">
        <v>16</v>
      </c>
      <c r="D5" s="68">
        <f>'Полярный пр-зд 5а'!D10</f>
        <v>106190.29</v>
      </c>
      <c r="E5" s="76">
        <f>'Ленина 32-16'!D10</f>
        <v>387165.79000000004</v>
      </c>
      <c r="F5" s="76">
        <f>'Ленина 34'!D10</f>
        <v>198167.32</v>
      </c>
      <c r="G5" s="76">
        <f>'Ленина 35-20'!D10</f>
        <v>497325.94999999995</v>
      </c>
      <c r="H5" s="76">
        <f>'Ленина 35а'!D10</f>
        <v>263265.4</v>
      </c>
      <c r="I5" s="76">
        <f>'Ленина 36'!D10</f>
        <v>275539.47</v>
      </c>
      <c r="J5" s="76">
        <f>'Ленина 38-7'!D10</f>
        <v>450289.44</v>
      </c>
      <c r="K5" s="76">
        <f>'Ленина 39'!D10</f>
        <v>248536.06</v>
      </c>
      <c r="L5" s="76">
        <f>'Ленина 45'!D10</f>
        <v>116045.33</v>
      </c>
      <c r="M5" s="76">
        <f>'Ленина 47-12'!D10</f>
        <v>631361.53</v>
      </c>
      <c r="N5" s="76">
        <f>'Корешкова 6'!D10</f>
        <v>354511.81999999995</v>
      </c>
      <c r="O5" s="76">
        <f>'Корешкова 8-50'!D10</f>
        <v>439326.11000000004</v>
      </c>
      <c r="P5" s="76">
        <f>'Первомайская 46а'!D10</f>
        <v>118501.55</v>
      </c>
      <c r="Q5" s="76">
        <f>'Первомайская 48'!D10</f>
        <v>384864.83</v>
      </c>
      <c r="R5" s="76">
        <f>'Советская 12-1'!D10</f>
        <v>240458.14</v>
      </c>
      <c r="S5" s="76">
        <f>'Советская 14'!D10</f>
        <v>207535.01</v>
      </c>
      <c r="T5" s="76">
        <f>'пр-зд Чернышевского 18а'!D10</f>
        <v>137341.98</v>
      </c>
      <c r="U5" s="76">
        <f t="shared" si="0"/>
        <v>5056426.02</v>
      </c>
    </row>
    <row r="6" spans="1:21" ht="29.25" customHeight="1">
      <c r="A6" s="10" t="s">
        <v>21</v>
      </c>
      <c r="B6" s="11" t="s">
        <v>22</v>
      </c>
      <c r="C6" s="12" t="s">
        <v>16</v>
      </c>
      <c r="D6" s="68">
        <f>'Полярный пр-зд 5а'!D11</f>
        <v>756030.36</v>
      </c>
      <c r="E6" s="76">
        <f>'Ленина 32-16'!D11</f>
        <v>2860355</v>
      </c>
      <c r="F6" s="76">
        <f>'Ленина 34'!D11</f>
        <v>1547670.8399999999</v>
      </c>
      <c r="G6" s="76">
        <f>'Ленина 35-20'!D11</f>
        <v>2673473.46</v>
      </c>
      <c r="H6" s="76">
        <f>'Ленина 35а'!D11</f>
        <v>1286500.08</v>
      </c>
      <c r="I6" s="76">
        <f>'Ленина 36'!D11</f>
        <v>2034025.98</v>
      </c>
      <c r="J6" s="76">
        <f>'Ленина 38-7'!D11</f>
        <v>2033651.52</v>
      </c>
      <c r="K6" s="76">
        <f>'Ленина 39'!D11</f>
        <v>1968158.08</v>
      </c>
      <c r="L6" s="76">
        <f>'Ленина 45'!D11</f>
        <v>977693.28</v>
      </c>
      <c r="M6" s="76">
        <f>'Ленина 47-12'!D11</f>
        <v>2185335.3</v>
      </c>
      <c r="N6" s="76">
        <f>'Корешкова 6'!D11</f>
        <v>1650870.07</v>
      </c>
      <c r="O6" s="76">
        <f>'Корешкова 8-50'!D11</f>
        <v>1481709.42</v>
      </c>
      <c r="P6" s="76">
        <f>'Первомайская 46а'!D11</f>
        <v>1538313.9</v>
      </c>
      <c r="Q6" s="76">
        <f>'Первомайская 48'!D11</f>
        <v>1184236.34</v>
      </c>
      <c r="R6" s="76">
        <f>'Советская 12-1'!D11</f>
        <v>1999710.69</v>
      </c>
      <c r="S6" s="76">
        <f>'Советская 14'!D11</f>
        <v>1126514.49</v>
      </c>
      <c r="T6" s="76">
        <f>'пр-зд Чернышевского 18а'!D11</f>
        <v>548560.8</v>
      </c>
      <c r="U6" s="76">
        <f t="shared" si="0"/>
        <v>27852809.61</v>
      </c>
    </row>
    <row r="7" spans="1:21" ht="15.75" customHeight="1">
      <c r="A7" s="6" t="s">
        <v>23</v>
      </c>
      <c r="B7" s="15" t="s">
        <v>24</v>
      </c>
      <c r="C7" s="8" t="s">
        <v>16</v>
      </c>
      <c r="D7" s="68">
        <f>'Полярный пр-зд 5а'!D12</f>
        <v>0</v>
      </c>
      <c r="E7" s="76">
        <f>'Ленина 32-16'!D12</f>
        <v>0</v>
      </c>
      <c r="F7" s="76">
        <f>'Ленина 34'!D12</f>
        <v>0</v>
      </c>
      <c r="G7" s="76">
        <f>'Ленина 35-20'!D12</f>
        <v>0</v>
      </c>
      <c r="H7" s="76">
        <f>'Ленина 35а'!D12</f>
        <v>0</v>
      </c>
      <c r="I7" s="76">
        <f>'Ленина 36'!D12</f>
        <v>0</v>
      </c>
      <c r="J7" s="76">
        <f>'Ленина 38-7'!D12</f>
        <v>0</v>
      </c>
      <c r="K7" s="76">
        <f>'Ленина 39'!D12</f>
        <v>0</v>
      </c>
      <c r="L7" s="76">
        <f>'Ленина 45'!D12</f>
        <v>0</v>
      </c>
      <c r="M7" s="76">
        <f>'Ленина 47-12'!D12</f>
        <v>0</v>
      </c>
      <c r="N7" s="76">
        <f>'Корешкова 6'!D12</f>
        <v>0</v>
      </c>
      <c r="O7" s="76">
        <f>'Корешкова 8-50'!D12</f>
        <v>0</v>
      </c>
      <c r="P7" s="76">
        <f>'Первомайская 46а'!D12</f>
        <v>0</v>
      </c>
      <c r="Q7" s="76">
        <f>'Первомайская 48'!D12</f>
        <v>0</v>
      </c>
      <c r="R7" s="76">
        <f>'Советская 12-1'!D12</f>
        <v>0</v>
      </c>
      <c r="S7" s="76">
        <f>'Советская 14'!D12</f>
        <v>0</v>
      </c>
      <c r="T7" s="76">
        <f>'пр-зд Чернышевского 18а'!D12</f>
        <v>0</v>
      </c>
      <c r="U7" s="76">
        <f t="shared" si="0"/>
        <v>0</v>
      </c>
    </row>
    <row r="8" spans="1:21" ht="15.75" customHeight="1">
      <c r="A8" s="6" t="s">
        <v>25</v>
      </c>
      <c r="B8" s="15" t="s">
        <v>26</v>
      </c>
      <c r="C8" s="8" t="s">
        <v>16</v>
      </c>
      <c r="D8" s="68">
        <f>'Полярный пр-зд 5а'!D13</f>
        <v>0</v>
      </c>
      <c r="E8" s="76">
        <f>'Ленина 32-16'!D13</f>
        <v>0</v>
      </c>
      <c r="F8" s="76">
        <f>'Ленина 34'!D13</f>
        <v>0</v>
      </c>
      <c r="G8" s="76">
        <f>'Ленина 35-20'!D13</f>
        <v>0</v>
      </c>
      <c r="H8" s="76">
        <f>'Ленина 35а'!D13</f>
        <v>0</v>
      </c>
      <c r="I8" s="76">
        <f>'Ленина 36'!D13</f>
        <v>0</v>
      </c>
      <c r="J8" s="76">
        <f>'Ленина 38-7'!D13</f>
        <v>0</v>
      </c>
      <c r="K8" s="76">
        <f>'Ленина 39'!D13</f>
        <v>0</v>
      </c>
      <c r="L8" s="76">
        <f>'Ленина 45'!D13</f>
        <v>0</v>
      </c>
      <c r="M8" s="76">
        <f>'Ленина 47-12'!D13</f>
        <v>0</v>
      </c>
      <c r="N8" s="76">
        <f>'Корешкова 6'!D13</f>
        <v>0</v>
      </c>
      <c r="O8" s="76">
        <f>'Корешкова 8-50'!D13</f>
        <v>0</v>
      </c>
      <c r="P8" s="76">
        <f>'Первомайская 46а'!D13</f>
        <v>0</v>
      </c>
      <c r="Q8" s="76">
        <f>'Первомайская 48'!D13</f>
        <v>0</v>
      </c>
      <c r="R8" s="76">
        <f>'Советская 12-1'!D13</f>
        <v>0</v>
      </c>
      <c r="S8" s="76">
        <f>'Советская 14'!D13</f>
        <v>0</v>
      </c>
      <c r="T8" s="76">
        <f>'пр-зд Чернышевского 18а'!D13</f>
        <v>0</v>
      </c>
      <c r="U8" s="76">
        <f t="shared" si="0"/>
        <v>0</v>
      </c>
    </row>
    <row r="9" spans="1:21" ht="15.75" customHeight="1">
      <c r="A9" s="6" t="s">
        <v>27</v>
      </c>
      <c r="B9" s="15" t="s">
        <v>28</v>
      </c>
      <c r="C9" s="8" t="s">
        <v>16</v>
      </c>
      <c r="D9" s="68">
        <f>'Полярный пр-зд 5а'!D14</f>
        <v>0</v>
      </c>
      <c r="E9" s="76">
        <f>'Ленина 32-16'!D14</f>
        <v>0</v>
      </c>
      <c r="F9" s="76">
        <f>'Ленина 34'!D14</f>
        <v>0</v>
      </c>
      <c r="G9" s="76">
        <f>'Ленина 35-20'!D14</f>
        <v>0</v>
      </c>
      <c r="H9" s="76">
        <f>'Ленина 35а'!D14</f>
        <v>0</v>
      </c>
      <c r="I9" s="76">
        <f>'Ленина 36'!D14</f>
        <v>0</v>
      </c>
      <c r="J9" s="76">
        <f>'Ленина 38-7'!D14</f>
        <v>0</v>
      </c>
      <c r="K9" s="76">
        <f>'Ленина 39'!D14</f>
        <v>0</v>
      </c>
      <c r="L9" s="76">
        <f>'Ленина 45'!D14</f>
        <v>0</v>
      </c>
      <c r="M9" s="76">
        <f>'Ленина 47-12'!D14</f>
        <v>0</v>
      </c>
      <c r="N9" s="76">
        <f>'Корешкова 6'!D14</f>
        <v>0</v>
      </c>
      <c r="O9" s="76">
        <f>'Корешкова 8-50'!D14</f>
        <v>0</v>
      </c>
      <c r="P9" s="76">
        <f>'Первомайская 46а'!D14</f>
        <v>0</v>
      </c>
      <c r="Q9" s="76">
        <f>'Первомайская 48'!D14</f>
        <v>0</v>
      </c>
      <c r="R9" s="76">
        <f>'Советская 12-1'!D14</f>
        <v>0</v>
      </c>
      <c r="S9" s="76">
        <f>'Советская 14'!D14</f>
        <v>0</v>
      </c>
      <c r="T9" s="76">
        <f>'пр-зд Чернышевского 18а'!D14</f>
        <v>0</v>
      </c>
      <c r="U9" s="76">
        <f t="shared" si="0"/>
        <v>0</v>
      </c>
    </row>
    <row r="10" spans="1:21" ht="15.75" customHeight="1">
      <c r="A10" s="6" t="s">
        <v>29</v>
      </c>
      <c r="B10" s="16" t="s">
        <v>30</v>
      </c>
      <c r="C10" s="8" t="s">
        <v>16</v>
      </c>
      <c r="D10" s="68">
        <f>'Полярный пр-зд 5а'!D15</f>
        <v>731503.13</v>
      </c>
      <c r="E10" s="76">
        <f>'Ленина 32-16'!D15</f>
        <v>2826426.55</v>
      </c>
      <c r="F10" s="76">
        <f>'Ленина 34'!D15</f>
        <v>1515876.55</v>
      </c>
      <c r="G10" s="76">
        <f>'Ленина 35-20'!D15</f>
        <v>2645080</v>
      </c>
      <c r="H10" s="76">
        <f>'Ленина 35а'!D15</f>
        <v>1204415.86</v>
      </c>
      <c r="I10" s="76">
        <f>'Ленина 36'!D15</f>
        <v>2152243.05</v>
      </c>
      <c r="J10" s="76">
        <f>'Ленина 38-7'!D15</f>
        <v>2021190.02</v>
      </c>
      <c r="K10" s="76">
        <f>'Ленина 39'!D15</f>
        <v>1912812.8800000001</v>
      </c>
      <c r="L10" s="76">
        <f>'Ленина 45'!D15</f>
        <v>937561.41</v>
      </c>
      <c r="M10" s="76">
        <f>'Ленина 47-12'!D15</f>
        <v>1899869.7000000002</v>
      </c>
      <c r="N10" s="76">
        <f>'Корешкова 6'!D15</f>
        <v>1662955.7000000002</v>
      </c>
      <c r="O10" s="76">
        <f>'Корешкова 8-50'!D15</f>
        <v>1467661.67</v>
      </c>
      <c r="P10" s="76">
        <f>'Первомайская 46а'!D15</f>
        <v>1526380.34</v>
      </c>
      <c r="Q10" s="76">
        <f>'Первомайская 48'!D15</f>
        <v>1125857.56</v>
      </c>
      <c r="R10" s="76">
        <f>'Советская 12-1'!D15</f>
        <v>1919430.5399999998</v>
      </c>
      <c r="S10" s="76">
        <f>'Советская 14'!D15</f>
        <v>1122139.88</v>
      </c>
      <c r="T10" s="76">
        <f>'пр-зд Чернышевского 18а'!D15</f>
        <v>539036.94</v>
      </c>
      <c r="U10" s="76">
        <f t="shared" si="0"/>
        <v>27210441.78</v>
      </c>
    </row>
    <row r="11" spans="1:21" ht="15.75" customHeight="1">
      <c r="A11" s="6" t="s">
        <v>31</v>
      </c>
      <c r="B11" s="15" t="s">
        <v>32</v>
      </c>
      <c r="C11" s="8" t="s">
        <v>16</v>
      </c>
      <c r="D11" s="68">
        <f>'Полярный пр-зд 5а'!D16</f>
        <v>731503.13</v>
      </c>
      <c r="E11" s="76">
        <f>'Ленина 32-16'!D16</f>
        <v>2826426.55</v>
      </c>
      <c r="F11" s="76">
        <f>'Ленина 34'!D16</f>
        <v>1515876.55</v>
      </c>
      <c r="G11" s="76">
        <f>'Ленина 35-20'!D16</f>
        <v>2645080</v>
      </c>
      <c r="H11" s="76">
        <f>'Ленина 35а'!D16</f>
        <v>1204415.86</v>
      </c>
      <c r="I11" s="76">
        <f>'Ленина 36'!D16</f>
        <v>2152243.05</v>
      </c>
      <c r="J11" s="76">
        <f>'Ленина 38-7'!D16</f>
        <v>2021190.02</v>
      </c>
      <c r="K11" s="76">
        <f>'Ленина 39'!D16</f>
        <v>1912812.8800000001</v>
      </c>
      <c r="L11" s="76">
        <f>'Ленина 45'!D16</f>
        <v>937561.41</v>
      </c>
      <c r="M11" s="76">
        <f>'Ленина 47-12'!D16</f>
        <v>1899869.7000000002</v>
      </c>
      <c r="N11" s="76">
        <f>'Корешкова 6'!D16</f>
        <v>1662955.7000000002</v>
      </c>
      <c r="O11" s="76">
        <f>'Корешкова 8-50'!D16</f>
        <v>1467661.67</v>
      </c>
      <c r="P11" s="76">
        <f>'Первомайская 46а'!D16</f>
        <v>1526380.34</v>
      </c>
      <c r="Q11" s="76">
        <f>'Первомайская 48'!D16</f>
        <v>1125857.56</v>
      </c>
      <c r="R11" s="76">
        <f>'Советская 12-1'!D16</f>
        <v>1919430.5399999998</v>
      </c>
      <c r="S11" s="76">
        <f>'Советская 14'!D16</f>
        <v>1122139.88</v>
      </c>
      <c r="T11" s="76">
        <f>'пр-зд Чернышевского 18а'!D16</f>
        <v>539036.94</v>
      </c>
      <c r="U11" s="76">
        <f t="shared" si="0"/>
        <v>27210441.78</v>
      </c>
    </row>
    <row r="12" spans="1:21" ht="15.75" customHeight="1">
      <c r="A12" s="6" t="s">
        <v>33</v>
      </c>
      <c r="B12" s="15" t="s">
        <v>34</v>
      </c>
      <c r="C12" s="8" t="s">
        <v>16</v>
      </c>
      <c r="D12" s="68">
        <f>'Полярный пр-зд 5а'!D17</f>
        <v>0</v>
      </c>
      <c r="E12" s="76">
        <f>'Ленина 32-16'!D17</f>
        <v>0</v>
      </c>
      <c r="F12" s="76">
        <f>'Ленина 34'!D17</f>
        <v>0</v>
      </c>
      <c r="G12" s="76">
        <f>'Ленина 35-20'!D17</f>
        <v>0</v>
      </c>
      <c r="H12" s="76">
        <f>'Ленина 35а'!D17</f>
        <v>0</v>
      </c>
      <c r="I12" s="76">
        <f>'Ленина 36'!D17</f>
        <v>0</v>
      </c>
      <c r="J12" s="76">
        <f>'Ленина 38-7'!D17</f>
        <v>0</v>
      </c>
      <c r="K12" s="76">
        <f>'Ленина 39'!D17</f>
        <v>0</v>
      </c>
      <c r="L12" s="76">
        <f>'Ленина 45'!D17</f>
        <v>0</v>
      </c>
      <c r="M12" s="76">
        <f>'Ленина 47-12'!D17</f>
        <v>0</v>
      </c>
      <c r="N12" s="76">
        <f>'Корешкова 6'!D17</f>
        <v>0</v>
      </c>
      <c r="O12" s="76">
        <f>'Корешкова 8-50'!D17</f>
        <v>0</v>
      </c>
      <c r="P12" s="76">
        <f>'Первомайская 46а'!D17</f>
        <v>0</v>
      </c>
      <c r="Q12" s="76">
        <f>'Первомайская 48'!D17</f>
        <v>0</v>
      </c>
      <c r="R12" s="76">
        <f>'Советская 12-1'!D17</f>
        <v>0</v>
      </c>
      <c r="S12" s="76">
        <f>'Советская 14'!D17</f>
        <v>0</v>
      </c>
      <c r="T12" s="76">
        <f>'пр-зд Чернышевского 18а'!D17</f>
        <v>0</v>
      </c>
      <c r="U12" s="76">
        <f t="shared" si="0"/>
        <v>0</v>
      </c>
    </row>
    <row r="13" spans="1:21" ht="15" customHeight="1">
      <c r="A13" s="6" t="s">
        <v>35</v>
      </c>
      <c r="B13" s="15" t="s">
        <v>36</v>
      </c>
      <c r="C13" s="8" t="s">
        <v>16</v>
      </c>
      <c r="D13" s="68">
        <f>'Полярный пр-зд 5а'!D18</f>
        <v>0</v>
      </c>
      <c r="E13" s="76">
        <f>'Ленина 32-16'!D18</f>
        <v>0</v>
      </c>
      <c r="F13" s="76">
        <f>'Ленина 34'!D18</f>
        <v>0</v>
      </c>
      <c r="G13" s="76">
        <f>'Ленина 35-20'!D18</f>
        <v>0</v>
      </c>
      <c r="H13" s="76">
        <f>'Ленина 35а'!D18</f>
        <v>0</v>
      </c>
      <c r="I13" s="76">
        <f>'Ленина 36'!D18</f>
        <v>0</v>
      </c>
      <c r="J13" s="76">
        <f>'Ленина 38-7'!D18</f>
        <v>0</v>
      </c>
      <c r="K13" s="76">
        <f>'Ленина 39'!D18</f>
        <v>0</v>
      </c>
      <c r="L13" s="76">
        <f>'Ленина 45'!D18</f>
        <v>0</v>
      </c>
      <c r="M13" s="76">
        <f>'Ленина 47-12'!D18</f>
        <v>0</v>
      </c>
      <c r="N13" s="76">
        <f>'Корешкова 6'!D18</f>
        <v>0</v>
      </c>
      <c r="O13" s="76">
        <f>'Корешкова 8-50'!D18</f>
        <v>0</v>
      </c>
      <c r="P13" s="76">
        <f>'Первомайская 46а'!D18</f>
        <v>0</v>
      </c>
      <c r="Q13" s="76">
        <f>'Первомайская 48'!D18</f>
        <v>0</v>
      </c>
      <c r="R13" s="76">
        <f>'Советская 12-1'!D18</f>
        <v>0</v>
      </c>
      <c r="S13" s="76">
        <f>'Советская 14'!D18</f>
        <v>0</v>
      </c>
      <c r="T13" s="76">
        <f>'пр-зд Чернышевского 18а'!D18</f>
        <v>0</v>
      </c>
      <c r="U13" s="76">
        <f t="shared" si="0"/>
        <v>0</v>
      </c>
    </row>
    <row r="14" spans="1:21" ht="29.25" customHeight="1">
      <c r="A14" s="6" t="s">
        <v>37</v>
      </c>
      <c r="B14" s="15" t="s">
        <v>38</v>
      </c>
      <c r="C14" s="8" t="s">
        <v>16</v>
      </c>
      <c r="D14" s="68">
        <f>'Полярный пр-зд 5а'!D19</f>
        <v>0</v>
      </c>
      <c r="E14" s="76">
        <f>'Ленина 32-16'!D19</f>
        <v>0</v>
      </c>
      <c r="F14" s="76">
        <f>'Ленина 34'!D19</f>
        <v>0</v>
      </c>
      <c r="G14" s="76">
        <f>'Ленина 35-20'!D19</f>
        <v>0</v>
      </c>
      <c r="H14" s="76">
        <f>'Ленина 35а'!D19</f>
        <v>0</v>
      </c>
      <c r="I14" s="76">
        <f>'Ленина 36'!D19</f>
        <v>0</v>
      </c>
      <c r="J14" s="76">
        <f>'Ленина 38-7'!D19</f>
        <v>0</v>
      </c>
      <c r="K14" s="76">
        <f>'Ленина 39'!D19</f>
        <v>0</v>
      </c>
      <c r="L14" s="76">
        <f>'Ленина 45'!D19</f>
        <v>0</v>
      </c>
      <c r="M14" s="76">
        <f>'Ленина 47-12'!D19</f>
        <v>0</v>
      </c>
      <c r="N14" s="76">
        <f>'Корешкова 6'!D19</f>
        <v>0</v>
      </c>
      <c r="O14" s="76">
        <f>'Корешкова 8-50'!D19</f>
        <v>0</v>
      </c>
      <c r="P14" s="76">
        <f>'Первомайская 46а'!D19</f>
        <v>0</v>
      </c>
      <c r="Q14" s="76">
        <f>'Первомайская 48'!D19</f>
        <v>0</v>
      </c>
      <c r="R14" s="76">
        <f>'Советская 12-1'!D19</f>
        <v>0</v>
      </c>
      <c r="S14" s="76">
        <f>'Советская 14'!D19</f>
        <v>0</v>
      </c>
      <c r="T14" s="76">
        <f>'пр-зд Чернышевского 18а'!D19</f>
        <v>0</v>
      </c>
      <c r="U14" s="76">
        <f t="shared" si="0"/>
        <v>0</v>
      </c>
    </row>
    <row r="15" spans="1:21" ht="18.75" customHeight="1">
      <c r="A15" s="6" t="s">
        <v>39</v>
      </c>
      <c r="B15" s="15" t="s">
        <v>40</v>
      </c>
      <c r="C15" s="8" t="s">
        <v>16</v>
      </c>
      <c r="D15" s="68">
        <f>'Полярный пр-зд 5а'!D20</f>
        <v>0</v>
      </c>
      <c r="E15" s="76">
        <f>'Ленина 32-16'!D20</f>
        <v>0</v>
      </c>
      <c r="F15" s="76">
        <f>'Ленина 34'!D20</f>
        <v>0</v>
      </c>
      <c r="G15" s="76">
        <f>'Ленина 35-20'!D20</f>
        <v>0</v>
      </c>
      <c r="H15" s="76">
        <f>'Ленина 35а'!D20</f>
        <v>0</v>
      </c>
      <c r="I15" s="76">
        <f>'Ленина 36'!D20</f>
        <v>0</v>
      </c>
      <c r="J15" s="76">
        <f>'Ленина 38-7'!D20</f>
        <v>0</v>
      </c>
      <c r="K15" s="76">
        <f>'Ленина 39'!D20</f>
        <v>0</v>
      </c>
      <c r="L15" s="76">
        <f>'Ленина 45'!D20</f>
        <v>0</v>
      </c>
      <c r="M15" s="76">
        <f>'Ленина 47-12'!D20</f>
        <v>0</v>
      </c>
      <c r="N15" s="76">
        <f>'Корешкова 6'!D20</f>
        <v>0</v>
      </c>
      <c r="O15" s="76">
        <f>'Корешкова 8-50'!D20</f>
        <v>0</v>
      </c>
      <c r="P15" s="76">
        <f>'Первомайская 46а'!D20</f>
        <v>0</v>
      </c>
      <c r="Q15" s="76">
        <f>'Первомайская 48'!D20</f>
        <v>0</v>
      </c>
      <c r="R15" s="76">
        <f>'Советская 12-1'!D20</f>
        <v>0</v>
      </c>
      <c r="S15" s="76">
        <f>'Советская 14'!D20</f>
        <v>0</v>
      </c>
      <c r="T15" s="76">
        <f>'пр-зд Чернышевского 18а'!D20</f>
        <v>0</v>
      </c>
      <c r="U15" s="76">
        <f t="shared" si="0"/>
        <v>0</v>
      </c>
    </row>
    <row r="16" spans="1:21" ht="18.75" customHeight="1">
      <c r="A16" s="6" t="s">
        <v>41</v>
      </c>
      <c r="B16" s="16" t="s">
        <v>42</v>
      </c>
      <c r="C16" s="8" t="s">
        <v>16</v>
      </c>
      <c r="D16" s="68">
        <f>'Полярный пр-зд 5а'!D21</f>
        <v>731503.13</v>
      </c>
      <c r="E16" s="76">
        <f>'Ленина 32-16'!D21</f>
        <v>2826426.55</v>
      </c>
      <c r="F16" s="76">
        <f>'Ленина 34'!D21</f>
        <v>1515876.55</v>
      </c>
      <c r="G16" s="76">
        <f>'Ленина 35-20'!D21</f>
        <v>2645080</v>
      </c>
      <c r="H16" s="76">
        <f>'Ленина 35а'!D21</f>
        <v>1204415.86</v>
      </c>
      <c r="I16" s="76">
        <f>'Ленина 36'!D21</f>
        <v>2152243.05</v>
      </c>
      <c r="J16" s="76">
        <f>'Ленина 38-7'!D21</f>
        <v>2021190.02</v>
      </c>
      <c r="K16" s="76">
        <f>'Ленина 39'!D21</f>
        <v>1912812.8800000001</v>
      </c>
      <c r="L16" s="76">
        <f>'Ленина 45'!D21</f>
        <v>937561.41</v>
      </c>
      <c r="M16" s="76">
        <f>'Ленина 47-12'!D21</f>
        <v>1899869.7000000002</v>
      </c>
      <c r="N16" s="76">
        <f>'Корешкова 6'!D21</f>
        <v>1662955.7000000002</v>
      </c>
      <c r="O16" s="76">
        <f>'Корешкова 8-50'!D21</f>
        <v>1467661.67</v>
      </c>
      <c r="P16" s="76">
        <f>'Первомайская 46а'!D21</f>
        <v>1526380.34</v>
      </c>
      <c r="Q16" s="76">
        <f>'Первомайская 48'!D21</f>
        <v>1125857.56</v>
      </c>
      <c r="R16" s="76">
        <f>'Советская 12-1'!D21</f>
        <v>1919430.5399999998</v>
      </c>
      <c r="S16" s="76">
        <f>'Советская 14'!D21</f>
        <v>1122139.88</v>
      </c>
      <c r="T16" s="76">
        <f>'пр-зд Чернышевского 18а'!D21</f>
        <v>539036.94</v>
      </c>
      <c r="U16" s="76">
        <f t="shared" si="0"/>
        <v>27210441.78</v>
      </c>
    </row>
    <row r="17" spans="1:21" ht="29.25" customHeight="1">
      <c r="A17" s="6" t="s">
        <v>43</v>
      </c>
      <c r="B17" s="16" t="s">
        <v>44</v>
      </c>
      <c r="C17" s="8" t="s">
        <v>16</v>
      </c>
      <c r="D17" s="68">
        <f>'Полярный пр-зд 5а'!D22</f>
        <v>130717.52000000002</v>
      </c>
      <c r="E17" s="76">
        <f>'Ленина 32-16'!D22</f>
        <v>421094.2400000002</v>
      </c>
      <c r="F17" s="76">
        <f>'Ленина 34'!D22</f>
        <v>229961.60999999987</v>
      </c>
      <c r="G17" s="76">
        <f>'Ленина 35-20'!D22</f>
        <v>525719.4100000001</v>
      </c>
      <c r="H17" s="76">
        <f>'Ленина 35а'!D22</f>
        <v>345349.6199999999</v>
      </c>
      <c r="I17" s="76">
        <f>'Ленина 36'!D22</f>
        <v>157322.40000000037</v>
      </c>
      <c r="J17" s="76">
        <f>'Ленина 38-7'!D22</f>
        <v>462750.93999999994</v>
      </c>
      <c r="K17" s="76">
        <f>'Ленина 39'!D22</f>
        <v>303881.26</v>
      </c>
      <c r="L17" s="76">
        <f>'Ленина 45'!D22</f>
        <v>156177.20000000007</v>
      </c>
      <c r="M17" s="76">
        <f>'Ленина 47-12'!D22</f>
        <v>916827.1299999999</v>
      </c>
      <c r="N17" s="76">
        <f>'Корешкова 6'!D22</f>
        <v>342426.18999999994</v>
      </c>
      <c r="O17" s="76">
        <f>'Корешкова 8-50'!D22</f>
        <v>453373.86</v>
      </c>
      <c r="P17" s="76">
        <f>'Первомайская 46а'!D22</f>
        <v>130435.11</v>
      </c>
      <c r="Q17" s="76">
        <f>'Первомайская 48'!D22</f>
        <v>443243.6100000001</v>
      </c>
      <c r="R17" s="76">
        <f>'Советская 12-1'!D22</f>
        <v>320738.29000000027</v>
      </c>
      <c r="S17" s="76">
        <f>'Советская 14'!D22</f>
        <v>211909.6200000001</v>
      </c>
      <c r="T17" s="76">
        <f>'пр-зд Чернышевского 18а'!D22</f>
        <v>146865.84000000008</v>
      </c>
      <c r="U17" s="76">
        <f t="shared" si="0"/>
        <v>5698793.850000001</v>
      </c>
    </row>
    <row r="18" spans="1:21" ht="16.5" customHeight="1">
      <c r="A18" s="6" t="s">
        <v>45</v>
      </c>
      <c r="B18" s="15" t="s">
        <v>46</v>
      </c>
      <c r="C18" s="8" t="s">
        <v>16</v>
      </c>
      <c r="D18" s="68">
        <f>'Полярный пр-зд 5а'!D23</f>
        <v>0</v>
      </c>
      <c r="E18" s="76">
        <f>'Ленина 32-16'!D23</f>
        <v>0</v>
      </c>
      <c r="F18" s="76">
        <f>'Ленина 34'!D23</f>
        <v>0</v>
      </c>
      <c r="G18" s="76">
        <f>'Ленина 35-20'!D23</f>
        <v>0</v>
      </c>
      <c r="H18" s="76">
        <f>'Ленина 35а'!D23</f>
        <v>0</v>
      </c>
      <c r="I18" s="76">
        <f>'Ленина 36'!D23</f>
        <v>0</v>
      </c>
      <c r="J18" s="76">
        <f>'Ленина 38-7'!D23</f>
        <v>0</v>
      </c>
      <c r="K18" s="76">
        <f>'Ленина 39'!D23</f>
        <v>0</v>
      </c>
      <c r="L18" s="76">
        <f>'Ленина 45'!D23</f>
        <v>0</v>
      </c>
      <c r="M18" s="76">
        <f>'Ленина 47-12'!D23</f>
        <v>0</v>
      </c>
      <c r="N18" s="76">
        <f>'Корешкова 6'!D23</f>
        <v>0</v>
      </c>
      <c r="O18" s="76">
        <f>'Корешкова 8-50'!D23</f>
        <v>0</v>
      </c>
      <c r="P18" s="76">
        <f>'Первомайская 46а'!D23</f>
        <v>0</v>
      </c>
      <c r="Q18" s="76">
        <f>'Первомайская 48'!D23</f>
        <v>0</v>
      </c>
      <c r="R18" s="76">
        <f>'Советская 12-1'!D23</f>
        <v>0</v>
      </c>
      <c r="S18" s="76">
        <f>'Советская 14'!D23</f>
        <v>0</v>
      </c>
      <c r="T18" s="76">
        <f>'пр-зд Чернышевского 18а'!D23</f>
        <v>0</v>
      </c>
      <c r="U18" s="76">
        <f t="shared" si="0"/>
        <v>0</v>
      </c>
    </row>
    <row r="19" spans="1:21" ht="16.5" customHeight="1">
      <c r="A19" s="6" t="s">
        <v>47</v>
      </c>
      <c r="B19" s="15" t="s">
        <v>48</v>
      </c>
      <c r="C19" s="8" t="s">
        <v>16</v>
      </c>
      <c r="D19" s="68">
        <f>'Полярный пр-зд 5а'!D24</f>
        <v>130717.52000000002</v>
      </c>
      <c r="E19" s="76">
        <f>'Ленина 32-16'!D24</f>
        <v>421094.24</v>
      </c>
      <c r="F19" s="76">
        <f>'Ленина 34'!D24</f>
        <v>229961.61000000002</v>
      </c>
      <c r="G19" s="76">
        <f>'Ленина 35-20'!D24</f>
        <v>525719.41</v>
      </c>
      <c r="H19" s="76">
        <f>'Ленина 35а'!D24</f>
        <v>345349.62</v>
      </c>
      <c r="I19" s="76">
        <f>'Ленина 36'!D24</f>
        <v>157322.4</v>
      </c>
      <c r="J19" s="76">
        <f>'Ленина 38-7'!D24</f>
        <v>462750.94</v>
      </c>
      <c r="K19" s="76">
        <f>'Ленина 39'!D24</f>
        <v>303881.26</v>
      </c>
      <c r="L19" s="76">
        <f>'Ленина 45'!D24</f>
        <v>156177.20000000007</v>
      </c>
      <c r="M19" s="76">
        <f>'Ленина 47-12'!D24</f>
        <v>916827.13</v>
      </c>
      <c r="N19" s="76">
        <f>'Корешкова 6'!D24</f>
        <v>342426.19</v>
      </c>
      <c r="O19" s="76">
        <f>'Корешкова 8-50'!D24</f>
        <v>453373.8600000001</v>
      </c>
      <c r="P19" s="76">
        <f>'Первомайская 46а'!D24</f>
        <v>130435.11</v>
      </c>
      <c r="Q19" s="76">
        <f>'Первомайская 48'!D24</f>
        <v>443243.61</v>
      </c>
      <c r="R19" s="76">
        <f>'Советская 12-1'!D24</f>
        <v>320738.29</v>
      </c>
      <c r="S19" s="76">
        <f>'Советская 14'!D24</f>
        <v>211909.62</v>
      </c>
      <c r="T19" s="76">
        <f>'пр-зд Чернышевского 18а'!D24</f>
        <v>146865.84000000008</v>
      </c>
      <c r="U19" s="76">
        <f t="shared" si="0"/>
        <v>5698793.850000001</v>
      </c>
    </row>
    <row r="20" spans="1:21" ht="15" customHeight="1">
      <c r="A20" s="108" t="s">
        <v>49</v>
      </c>
      <c r="B20" s="109"/>
      <c r="C20" s="109"/>
      <c r="D20" s="69"/>
      <c r="E20" s="76">
        <f>'Ленина 32-16'!D25</f>
        <v>0</v>
      </c>
      <c r="F20" s="76">
        <f>'Ленина 34'!D25</f>
        <v>0</v>
      </c>
      <c r="G20" s="76">
        <f>'Ленина 35-20'!D25</f>
        <v>0</v>
      </c>
      <c r="H20" s="76">
        <f>'Ленина 35а'!D25</f>
        <v>0</v>
      </c>
      <c r="I20" s="76">
        <f>'Ленина 36'!D25</f>
        <v>0</v>
      </c>
      <c r="J20" s="76">
        <f>'Ленина 38-7'!D25</f>
        <v>0</v>
      </c>
      <c r="K20" s="76">
        <f>'Ленина 39'!D25</f>
        <v>0</v>
      </c>
      <c r="L20" s="76">
        <f>'Ленина 45'!D25</f>
        <v>0</v>
      </c>
      <c r="M20" s="76">
        <f>'Ленина 47-12'!D25</f>
        <v>0</v>
      </c>
      <c r="N20" s="76">
        <f>'Корешкова 6'!D25</f>
        <v>0</v>
      </c>
      <c r="O20" s="76">
        <f>'Корешкова 8-50'!D25</f>
        <v>0</v>
      </c>
      <c r="P20" s="76">
        <f>'Первомайская 46а'!D25</f>
        <v>0</v>
      </c>
      <c r="Q20" s="76">
        <f>'Первомайская 48'!D25</f>
        <v>0</v>
      </c>
      <c r="R20" s="76">
        <f>'Советская 12-1'!D25</f>
        <v>0</v>
      </c>
      <c r="S20" s="76">
        <f>'Советская 14'!D25</f>
        <v>0</v>
      </c>
      <c r="T20" s="76">
        <f>'пр-зд Чернышевского 18а'!D25</f>
        <v>0</v>
      </c>
      <c r="U20" s="76">
        <f t="shared" si="0"/>
        <v>0</v>
      </c>
    </row>
    <row r="21" spans="1:21" ht="17.25" customHeight="1">
      <c r="A21" s="6"/>
      <c r="B21" s="7" t="s">
        <v>50</v>
      </c>
      <c r="C21" s="18"/>
      <c r="D21" s="69"/>
      <c r="E21" s="76">
        <f>'Ленина 32-16'!D26</f>
        <v>0</v>
      </c>
      <c r="F21" s="76">
        <f>'Ленина 34'!D26</f>
        <v>0</v>
      </c>
      <c r="G21" s="76">
        <f>'Ленина 35-20'!D26</f>
        <v>0</v>
      </c>
      <c r="H21" s="76">
        <f>'Ленина 35а'!D26</f>
        <v>0</v>
      </c>
      <c r="I21" s="76">
        <f>'Ленина 36'!D26</f>
        <v>0</v>
      </c>
      <c r="J21" s="76">
        <f>'Ленина 38-7'!D26</f>
        <v>0</v>
      </c>
      <c r="K21" s="76">
        <f>'Ленина 39'!D26</f>
        <v>0</v>
      </c>
      <c r="L21" s="76">
        <f>'Ленина 45'!D26</f>
        <v>0</v>
      </c>
      <c r="M21" s="76">
        <f>'Ленина 47-12'!D26</f>
        <v>0</v>
      </c>
      <c r="N21" s="76">
        <f>'Корешкова 6'!D26</f>
        <v>0</v>
      </c>
      <c r="O21" s="76">
        <f>'Корешкова 8-50'!D26</f>
        <v>0</v>
      </c>
      <c r="P21" s="76">
        <f>'Первомайская 46а'!D26</f>
        <v>0</v>
      </c>
      <c r="Q21" s="76">
        <f>'Первомайская 48'!D26</f>
        <v>0</v>
      </c>
      <c r="R21" s="76">
        <f>'Советская 12-1'!D26</f>
        <v>0</v>
      </c>
      <c r="S21" s="76">
        <f>'Советская 14'!D26</f>
        <v>0</v>
      </c>
      <c r="T21" s="76">
        <f>'пр-зд Чернышевского 18а'!D26</f>
        <v>0</v>
      </c>
      <c r="U21" s="76">
        <f t="shared" si="0"/>
        <v>0</v>
      </c>
    </row>
    <row r="22" spans="1:21" ht="17.25" customHeight="1">
      <c r="A22" s="6" t="s">
        <v>51</v>
      </c>
      <c r="B22" s="16" t="s">
        <v>52</v>
      </c>
      <c r="C22" s="8" t="s">
        <v>7</v>
      </c>
      <c r="D22" s="17" t="s">
        <v>53</v>
      </c>
      <c r="E22" s="76" t="str">
        <f>'Ленина 32-16'!D27</f>
        <v>см.форму 2.3.</v>
      </c>
      <c r="F22" s="76" t="str">
        <f>'Ленина 34'!D27</f>
        <v>см.форму 2.3.</v>
      </c>
      <c r="G22" s="76" t="str">
        <f>'Ленина 35-20'!D27</f>
        <v>см.форму 2.3.</v>
      </c>
      <c r="H22" s="76" t="str">
        <f>'Ленина 35а'!D27</f>
        <v>см.форму 2.3.</v>
      </c>
      <c r="I22" s="76" t="str">
        <f>'Ленина 36'!D27</f>
        <v>см.форму 2.3.</v>
      </c>
      <c r="J22" s="76" t="str">
        <f>'Ленина 38-7'!D27</f>
        <v>см.форму 2.3.</v>
      </c>
      <c r="K22" s="76" t="str">
        <f>'Ленина 39'!D27</f>
        <v>см.форму 2.3.</v>
      </c>
      <c r="L22" s="76" t="str">
        <f>'Ленина 45'!D27</f>
        <v>см.форму 2.3.</v>
      </c>
      <c r="M22" s="76" t="str">
        <f>'Ленина 47-12'!D27</f>
        <v>см.форму 2.3.</v>
      </c>
      <c r="N22" s="76" t="str">
        <f>'Корешкова 6'!D27</f>
        <v>см.форму 2.3.</v>
      </c>
      <c r="O22" s="76" t="str">
        <f>'Корешкова 8-50'!D27</f>
        <v>см.форму 2.3.</v>
      </c>
      <c r="P22" s="76" t="str">
        <f>'Первомайская 46а'!D27</f>
        <v>см.форму 2.3.</v>
      </c>
      <c r="Q22" s="76" t="str">
        <f>'Первомайская 48'!D27</f>
        <v>см.форму 2.3.</v>
      </c>
      <c r="R22" s="76" t="str">
        <f>'Советская 12-1'!D27</f>
        <v>см.форму 2.3.</v>
      </c>
      <c r="S22" s="76" t="str">
        <f>'Советская 14'!D27</f>
        <v>см.форму 2.3.</v>
      </c>
      <c r="T22" s="76" t="str">
        <f>'пр-зд Чернышевского 18а'!D27</f>
        <v>см.форму 2.3.</v>
      </c>
      <c r="U22" s="76">
        <f t="shared" si="0"/>
        <v>0</v>
      </c>
    </row>
    <row r="23" spans="1:21" ht="17.25" customHeight="1">
      <c r="A23" s="6" t="s">
        <v>54</v>
      </c>
      <c r="B23" s="16" t="s">
        <v>55</v>
      </c>
      <c r="C23" s="8" t="s">
        <v>7</v>
      </c>
      <c r="D23" s="17" t="s">
        <v>53</v>
      </c>
      <c r="E23" s="76" t="str">
        <f>'Ленина 32-16'!D28</f>
        <v>см.форму 2.3.</v>
      </c>
      <c r="F23" s="76" t="str">
        <f>'Ленина 34'!D28</f>
        <v>см.форму 2.3.</v>
      </c>
      <c r="G23" s="76" t="str">
        <f>'Ленина 35-20'!D28</f>
        <v>см.форму 2.3.</v>
      </c>
      <c r="H23" s="76" t="str">
        <f>'Ленина 35а'!D28</f>
        <v>см.форму 2.3.</v>
      </c>
      <c r="I23" s="76" t="str">
        <f>'Ленина 36'!D28</f>
        <v>см.форму 2.3.</v>
      </c>
      <c r="J23" s="76" t="str">
        <f>'Ленина 38-7'!D28</f>
        <v>см.форму 2.3.</v>
      </c>
      <c r="K23" s="76" t="str">
        <f>'Ленина 39'!D28</f>
        <v>см.форму 2.3.</v>
      </c>
      <c r="L23" s="76" t="str">
        <f>'Ленина 45'!D28</f>
        <v>см.форму 2.3.</v>
      </c>
      <c r="M23" s="76" t="str">
        <f>'Ленина 47-12'!D28</f>
        <v>см.форму 2.3.</v>
      </c>
      <c r="N23" s="76" t="str">
        <f>'Корешкова 6'!D28</f>
        <v>см.форму 2.3.</v>
      </c>
      <c r="O23" s="76" t="str">
        <f>'Корешкова 8-50'!D28</f>
        <v>см.форму 2.3.</v>
      </c>
      <c r="P23" s="76" t="str">
        <f>'Первомайская 46а'!D28</f>
        <v>см.форму 2.3.</v>
      </c>
      <c r="Q23" s="76" t="str">
        <f>'Первомайская 48'!D28</f>
        <v>см.форму 2.3.</v>
      </c>
      <c r="R23" s="76" t="str">
        <f>'Советская 12-1'!D28</f>
        <v>см.форму 2.3.</v>
      </c>
      <c r="S23" s="76" t="str">
        <f>'Советская 14'!D28</f>
        <v>см.форму 2.3.</v>
      </c>
      <c r="T23" s="76" t="str">
        <f>'пр-зд Чернышевского 18а'!D28</f>
        <v>см.форму 2.3.</v>
      </c>
      <c r="U23" s="76">
        <f t="shared" si="0"/>
        <v>0</v>
      </c>
    </row>
    <row r="24" spans="1:21" ht="17.25" customHeight="1">
      <c r="A24" s="6" t="s">
        <v>56</v>
      </c>
      <c r="B24" s="16" t="s">
        <v>57</v>
      </c>
      <c r="C24" s="8" t="s">
        <v>7</v>
      </c>
      <c r="D24" s="17" t="s">
        <v>53</v>
      </c>
      <c r="E24" s="76" t="str">
        <f>'Ленина 32-16'!D29</f>
        <v>см.форму 2.3.</v>
      </c>
      <c r="F24" s="76" t="str">
        <f>'Ленина 34'!D29</f>
        <v>см.форму 2.3.</v>
      </c>
      <c r="G24" s="76" t="str">
        <f>'Ленина 35-20'!D29</f>
        <v>см.форму 2.3.</v>
      </c>
      <c r="H24" s="76" t="str">
        <f>'Ленина 35а'!D29</f>
        <v>см.форму 2.3.</v>
      </c>
      <c r="I24" s="76" t="str">
        <f>'Ленина 36'!D29</f>
        <v>см.форму 2.3.</v>
      </c>
      <c r="J24" s="76" t="str">
        <f>'Ленина 38-7'!D29</f>
        <v>см.форму 2.3.</v>
      </c>
      <c r="K24" s="76" t="str">
        <f>'Ленина 39'!D29</f>
        <v>см.форму 2.3.</v>
      </c>
      <c r="L24" s="76" t="str">
        <f>'Ленина 45'!D29</f>
        <v>см.форму 2.3.</v>
      </c>
      <c r="M24" s="76" t="str">
        <f>'Ленина 47-12'!D29</f>
        <v>см.форму 2.3.</v>
      </c>
      <c r="N24" s="76" t="str">
        <f>'Корешкова 6'!D29</f>
        <v>см.форму 2.3.</v>
      </c>
      <c r="O24" s="76" t="str">
        <f>'Корешкова 8-50'!D29</f>
        <v>см.форму 2.3.</v>
      </c>
      <c r="P24" s="76" t="str">
        <f>'Первомайская 46а'!D29</f>
        <v>см.форму 2.3.</v>
      </c>
      <c r="Q24" s="76" t="str">
        <f>'Первомайская 48'!D29</f>
        <v>см.форму 2.3.</v>
      </c>
      <c r="R24" s="76" t="str">
        <f>'Советская 12-1'!D29</f>
        <v>см.форму 2.3.</v>
      </c>
      <c r="S24" s="76" t="str">
        <f>'Советская 14'!D29</f>
        <v>см.форму 2.3.</v>
      </c>
      <c r="T24" s="76" t="str">
        <f>'пр-зд Чернышевского 18а'!D29</f>
        <v>см.форму 2.3.</v>
      </c>
      <c r="U24" s="76">
        <f t="shared" si="0"/>
        <v>0</v>
      </c>
    </row>
    <row r="25" spans="1:21" ht="17.25" customHeight="1">
      <c r="A25" s="6"/>
      <c r="B25" s="7" t="s">
        <v>58</v>
      </c>
      <c r="C25" s="8"/>
      <c r="D25" s="17"/>
      <c r="E25" s="76">
        <f>'Ленина 32-16'!D30</f>
        <v>0</v>
      </c>
      <c r="F25" s="76">
        <f>'Ленина 34'!D30</f>
        <v>0</v>
      </c>
      <c r="G25" s="76">
        <f>'Ленина 35-20'!D30</f>
        <v>0</v>
      </c>
      <c r="H25" s="76">
        <f>'Ленина 35а'!D30</f>
        <v>0</v>
      </c>
      <c r="I25" s="76">
        <f>'Ленина 36'!D30</f>
        <v>0</v>
      </c>
      <c r="J25" s="76">
        <f>'Ленина 38-7'!D30</f>
        <v>0</v>
      </c>
      <c r="K25" s="76">
        <f>'Ленина 39'!D30</f>
        <v>0</v>
      </c>
      <c r="L25" s="76">
        <f>'Ленина 45'!D30</f>
        <v>0</v>
      </c>
      <c r="M25" s="76">
        <f>'Ленина 47-12'!D30</f>
        <v>0</v>
      </c>
      <c r="N25" s="76">
        <f>'Корешкова 6'!D30</f>
        <v>0</v>
      </c>
      <c r="O25" s="76">
        <f>'Корешкова 8-50'!D30</f>
        <v>0</v>
      </c>
      <c r="P25" s="76">
        <f>'Первомайская 46а'!D30</f>
        <v>0</v>
      </c>
      <c r="Q25" s="76">
        <f>'Первомайская 48'!D30</f>
        <v>0</v>
      </c>
      <c r="R25" s="76">
        <f>'Советская 12-1'!D30</f>
        <v>0</v>
      </c>
      <c r="S25" s="76">
        <f>'Советская 14'!D30</f>
        <v>0</v>
      </c>
      <c r="T25" s="76">
        <f>'пр-зд Чернышевского 18а'!D30</f>
        <v>0</v>
      </c>
      <c r="U25" s="76">
        <f t="shared" si="0"/>
        <v>0</v>
      </c>
    </row>
    <row r="26" spans="1:21" ht="17.25" customHeight="1">
      <c r="A26" s="19" t="s">
        <v>59</v>
      </c>
      <c r="B26" s="16" t="s">
        <v>52</v>
      </c>
      <c r="C26" s="8" t="s">
        <v>7</v>
      </c>
      <c r="D26" s="70"/>
      <c r="E26" s="76" t="str">
        <f>'Ленина 32-16'!D31</f>
        <v>Замена дверного блока</v>
      </c>
      <c r="F26" s="76" t="str">
        <f>'Ленина 34'!D31</f>
        <v>Замена труб и запорной арматуры,ремонт ВРУ и эл.проводки</v>
      </c>
      <c r="G26" s="76" t="str">
        <f>'Ленина 35-20'!D31</f>
        <v>Ремонт детских площадокРемонт детских площадокЗамена водопроводного стояка, труб и запорной арматуры</v>
      </c>
      <c r="H26" s="76" t="str">
        <f>'Ленина 35а'!D31</f>
        <v> Ремонт козырьков над подъездами,ремонт детских площадок,ремонт электр.освещения</v>
      </c>
      <c r="I26" s="76" t="str">
        <f>'Ленина 36'!D31</f>
        <v>Ремонт козырьков над подъездами ,ремонт электр.освещения, замена водопроводного стояка, ремонт ВРУ и эл. проводки</v>
      </c>
      <c r="J26" s="76" t="str">
        <f>'Ленина 38-7'!D31</f>
        <v>Ремонт лестн.клеток и тамбура ,замена почт. ящиков, замена труб и запорной арматуры, ремонт лестн.клеток и тамбура ,замена почт. ящиков</v>
      </c>
      <c r="K26" s="76" t="str">
        <f>'Ленина 39'!D31</f>
        <v>Ремонт лестн.клеток и тамбура ,замена почт. Ящиков,ремонт цоколя и фасада,замена водопроводного стояка</v>
      </c>
      <c r="L26" s="76" t="str">
        <f>'Ленина 45'!D31</f>
        <v>Ремонт лестн.клеток и тамбура ,замена почт. Ящиков, ремонт цоколя и фасада</v>
      </c>
      <c r="M26" s="76" t="str">
        <f>'Ленина 47-12'!D31</f>
        <v>Ремонт козырьков над подъездами,ремонт лестн.клеток и тамбура ,замена почт. ящиков,ремонт арки,замена водопроводного стояка,ремонт ВРУ и </v>
      </c>
      <c r="N26" s="76" t="str">
        <f>'Корешкова 6'!D31</f>
        <v>Ремонт шиферной кровли,замена труб и запорной арматуры,подсыпка щебнем</v>
      </c>
      <c r="O26" s="76" t="str">
        <f>'Корешкова 8-50'!D31</f>
        <v>Замена задвижек, замена задвижек на шар.краны,замена водопроводного стояка, труб и запорной арматуры</v>
      </c>
      <c r="P26" s="76" t="str">
        <f>'Первомайская 46а'!D31</f>
        <v>Замена задвижек и замена задвижек на шар.краны,ремонт кровли</v>
      </c>
      <c r="Q26" s="76" t="str">
        <f>'Первомайская 48'!D31</f>
        <v>Заделка оконного проема,замена входной двери, замена труб и запорной арматуры</v>
      </c>
      <c r="R26" s="76" t="str">
        <f>'Советская 12-1'!D31</f>
        <v>Замена труб и запорной арматуры,замена электр.стояков и электр.лежаков,ремонт ВРУ и элекрт.проводки</v>
      </c>
      <c r="S26" s="76">
        <f>'Советская 14'!D31</f>
        <v>0</v>
      </c>
      <c r="T26" s="76">
        <f>'пр-зд Чернышевского 18а'!D31</f>
        <v>0</v>
      </c>
      <c r="U26" s="76">
        <f t="shared" si="0"/>
        <v>0</v>
      </c>
    </row>
    <row r="27" spans="1:21" ht="17.25" customHeight="1">
      <c r="A27" s="19" t="s">
        <v>60</v>
      </c>
      <c r="B27" s="16" t="s">
        <v>55</v>
      </c>
      <c r="C27" s="8" t="s">
        <v>7</v>
      </c>
      <c r="D27" s="70"/>
      <c r="E27" s="76" t="str">
        <f>'Ленина 32-16'!D32</f>
        <v>Публичное акционерное общество "Северное" (ПАО"Северное", ИНН 5053040768</v>
      </c>
      <c r="F27" s="76" t="str">
        <f>'Ленина 34'!D32</f>
        <v>Публичное акционерное общество "Северное"(ПАО"Северное", ИНН 5053040768</v>
      </c>
      <c r="G27" s="76" t="str">
        <f>'Ленина 35-20'!D32</f>
        <v>Публичное акционерное общество "Северное"(ПАО"Северное",ИНН 5053040768</v>
      </c>
      <c r="H27" s="76" t="str">
        <f>'Ленина 35а'!D32</f>
        <v>И.П.Концедалова                       ИНН 505303848201,              Публичное акционерное общество "Северное" (ПАО"Северное", ИНН 5053040768</v>
      </c>
      <c r="I27" s="76" t="str">
        <f>'Ленина 36'!D32</f>
        <v>И.П.Концедалова ИНН 505303848201,              Публичное акционерное общество "Северное"(ПАО"Северное", ИНН 5053040768</v>
      </c>
      <c r="J27" s="76" t="str">
        <f>'Ленина 38-7'!D32</f>
        <v>Публичное акционерное общество "Северное"(ПАО"Северное", ИНН 5053040768</v>
      </c>
      <c r="K27" s="76" t="str">
        <f>'Ленина 39'!D32</f>
        <v>Публичное акционерное общество "Северное"(ПАО"Северное", ИНН 5053040768</v>
      </c>
      <c r="L27" s="76" t="str">
        <f>'Ленина 45'!D32</f>
        <v>Публичное акционерное общество "Северное"(ПАО"Северное", ИНН 5053040768</v>
      </c>
      <c r="M27" s="76" t="str">
        <f>'Ленина 47-12'!D32</f>
        <v>И.П.Концедалова ИНН 505303848201            Публичное акционерное общество "Северное"(ПАО"Северное", ИНН 5053040768</v>
      </c>
      <c r="N27" s="76" t="str">
        <f>'Корешкова 6'!D32</f>
        <v>И.П.Концедалова ИНН 505303848201            Публичное акционерное общество "Северное"(ПАО"Северное",ИНН 5053040768</v>
      </c>
      <c r="O27" s="76" t="str">
        <f>'Корешкова 8-50'!D32</f>
        <v>И.П.Концедалова ИНН 505303848201            Публичное акционерное общество "Северное"(ПАО"Северное",ИНН 5053040768</v>
      </c>
      <c r="P27" s="76" t="str">
        <f>'Первомайская 46а'!D32</f>
        <v>     Публичное акционерное общество "Северное"(ПАО"Северное",ИНН 5053040768</v>
      </c>
      <c r="Q27" s="76" t="str">
        <f>'Первомайская 48'!D32</f>
        <v>     Публичное акционерное общество "Северное"(ПАО"Северное",ИНН 5053040768</v>
      </c>
      <c r="R27" s="76" t="str">
        <f>'Советская 12-1'!D32</f>
        <v>     Публичное акционерное общество "Северное"(ПАО"Северное",ИНН 5053040768</v>
      </c>
      <c r="S27" s="76">
        <f>'Советская 14'!D32</f>
        <v>0</v>
      </c>
      <c r="T27" s="76">
        <f>'пр-зд Чернышевского 18а'!D32</f>
        <v>0</v>
      </c>
      <c r="U27" s="76">
        <f t="shared" si="0"/>
        <v>0</v>
      </c>
    </row>
    <row r="28" spans="1:21" ht="17.25" customHeight="1">
      <c r="A28" s="19" t="s">
        <v>61</v>
      </c>
      <c r="B28" s="16" t="s">
        <v>57</v>
      </c>
      <c r="C28" s="8" t="s">
        <v>7</v>
      </c>
      <c r="D28" s="70"/>
      <c r="E28" s="76" t="str">
        <f>'Ленина 32-16'!D33</f>
        <v>при проведении текущего ремонта</v>
      </c>
      <c r="F28" s="76" t="str">
        <f>'Ленина 34'!D33</f>
        <v>при проведении текущего ремонта</v>
      </c>
      <c r="G28" s="76" t="str">
        <f>'Ленина 35-20'!D33</f>
        <v>при проведении текущего ремонта</v>
      </c>
      <c r="H28" s="76" t="str">
        <f>'Ленина 35а'!D33</f>
        <v>при проведении текущего ремонта</v>
      </c>
      <c r="I28" s="76" t="str">
        <f>'Ленина 36'!D33</f>
        <v>при проведении текущего ремонта</v>
      </c>
      <c r="J28" s="76" t="str">
        <f>'Ленина 38-7'!D33</f>
        <v>при проведении текущего ремонта</v>
      </c>
      <c r="K28" s="76" t="str">
        <f>'Ленина 39'!D33</f>
        <v>при проведении текущего ремонта</v>
      </c>
      <c r="L28" s="76" t="str">
        <f>'Ленина 45'!D33</f>
        <v>при проведении текущего ремонта</v>
      </c>
      <c r="M28" s="76" t="str">
        <f>'Ленина 47-12'!D33</f>
        <v>при проведении текущего ремонта</v>
      </c>
      <c r="N28" s="76" t="str">
        <f>'Корешкова 6'!D33</f>
        <v>при проведении текущего ремонта</v>
      </c>
      <c r="O28" s="76" t="str">
        <f>'Корешкова 8-50'!D33</f>
        <v>при проведении текущего ремонта</v>
      </c>
      <c r="P28" s="76" t="str">
        <f>'Первомайская 46а'!D33</f>
        <v>при проведении текущего ремонта</v>
      </c>
      <c r="Q28" s="76" t="str">
        <f>'Первомайская 48'!D33</f>
        <v>при проведении текущего ремонта</v>
      </c>
      <c r="R28" s="76" t="str">
        <f>'Советская 12-1'!D33</f>
        <v>при проведении текущего ремонта</v>
      </c>
      <c r="S28" s="76">
        <f>'Советская 14'!D33</f>
        <v>0</v>
      </c>
      <c r="T28" s="76">
        <f>'пр-зд Чернышевского 18а'!D33</f>
        <v>0</v>
      </c>
      <c r="U28" s="76">
        <f t="shared" si="0"/>
        <v>0</v>
      </c>
    </row>
    <row r="29" spans="1:21" ht="29.25" customHeight="1">
      <c r="A29" s="104" t="s">
        <v>62</v>
      </c>
      <c r="B29" s="105"/>
      <c r="C29" s="106"/>
      <c r="D29" s="69"/>
      <c r="E29" s="76">
        <f>'Ленина 32-16'!D34</f>
        <v>0</v>
      </c>
      <c r="F29" s="76">
        <f>'Ленина 34'!D34</f>
        <v>0</v>
      </c>
      <c r="G29" s="76">
        <f>'Ленина 35-20'!D34</f>
        <v>0</v>
      </c>
      <c r="H29" s="76">
        <f>'Ленина 35а'!D34</f>
        <v>0</v>
      </c>
      <c r="I29" s="76">
        <f>'Ленина 36'!D34</f>
        <v>0</v>
      </c>
      <c r="J29" s="76">
        <f>'Ленина 38-7'!D34</f>
        <v>0</v>
      </c>
      <c r="K29" s="76">
        <f>'Ленина 39'!D34</f>
        <v>0</v>
      </c>
      <c r="L29" s="76">
        <f>'Ленина 45'!D34</f>
        <v>0</v>
      </c>
      <c r="M29" s="76">
        <f>'Ленина 47-12'!D34</f>
        <v>0</v>
      </c>
      <c r="N29" s="76">
        <f>'Корешкова 6'!D34</f>
        <v>0</v>
      </c>
      <c r="O29" s="76">
        <f>'Корешкова 8-50'!D34</f>
        <v>0</v>
      </c>
      <c r="P29" s="76">
        <f>'Первомайская 46а'!D34</f>
        <v>0</v>
      </c>
      <c r="Q29" s="76">
        <f>'Первомайская 48'!D34</f>
        <v>0</v>
      </c>
      <c r="R29" s="76">
        <f>'Советская 12-1'!D34</f>
        <v>0</v>
      </c>
      <c r="S29" s="76">
        <f>'Советская 14'!D34</f>
        <v>0</v>
      </c>
      <c r="T29" s="76">
        <f>'пр-зд Чернышевского 18а'!D34</f>
        <v>0</v>
      </c>
      <c r="U29" s="76">
        <f t="shared" si="0"/>
        <v>0</v>
      </c>
    </row>
    <row r="30" spans="1:21" ht="15.75" customHeight="1">
      <c r="A30" s="6" t="s">
        <v>63</v>
      </c>
      <c r="B30" s="16" t="s">
        <v>64</v>
      </c>
      <c r="C30" s="8" t="s">
        <v>65</v>
      </c>
      <c r="D30" s="17"/>
      <c r="E30" s="76">
        <f>'Ленина 32-16'!D35</f>
        <v>0</v>
      </c>
      <c r="F30" s="76">
        <f>'Ленина 34'!D35</f>
        <v>0</v>
      </c>
      <c r="G30" s="76">
        <f>'Ленина 35-20'!D35</f>
        <v>0</v>
      </c>
      <c r="H30" s="76">
        <f>'Ленина 35а'!D35</f>
        <v>0</v>
      </c>
      <c r="I30" s="76">
        <f>'Ленина 36'!D35</f>
        <v>0</v>
      </c>
      <c r="J30" s="76">
        <f>'Ленина 38-7'!D35</f>
        <v>0</v>
      </c>
      <c r="K30" s="76">
        <f>'Ленина 39'!D35</f>
        <v>0</v>
      </c>
      <c r="L30" s="76">
        <f>'Ленина 45'!D35</f>
        <v>0</v>
      </c>
      <c r="M30" s="76">
        <f>'Ленина 47-12'!D35</f>
        <v>0</v>
      </c>
      <c r="N30" s="76">
        <f>'Корешкова 6'!D35</f>
        <v>0</v>
      </c>
      <c r="O30" s="76">
        <f>'Корешкова 8-50'!D35</f>
        <v>0</v>
      </c>
      <c r="P30" s="76">
        <f>'Первомайская 46а'!D35</f>
        <v>0</v>
      </c>
      <c r="Q30" s="76">
        <f>'Первомайская 48'!D35</f>
        <v>0</v>
      </c>
      <c r="R30" s="76">
        <f>'Советская 12-1'!D35</f>
        <v>0</v>
      </c>
      <c r="S30" s="76">
        <f>'Советская 14'!D35</f>
        <v>0</v>
      </c>
      <c r="T30" s="76">
        <f>'пр-зд Чернышевского 18а'!D35</f>
        <v>0</v>
      </c>
      <c r="U30" s="76">
        <f t="shared" si="0"/>
        <v>0</v>
      </c>
    </row>
    <row r="31" spans="1:21" ht="15.75" customHeight="1">
      <c r="A31" s="6" t="s">
        <v>66</v>
      </c>
      <c r="B31" s="16" t="s">
        <v>67</v>
      </c>
      <c r="C31" s="8" t="s">
        <v>65</v>
      </c>
      <c r="D31" s="17"/>
      <c r="E31" s="76">
        <f>'Ленина 32-16'!D36</f>
        <v>0</v>
      </c>
      <c r="F31" s="76">
        <f>'Ленина 34'!D36</f>
        <v>0</v>
      </c>
      <c r="G31" s="76">
        <f>'Ленина 35-20'!D36</f>
        <v>0</v>
      </c>
      <c r="H31" s="76">
        <f>'Ленина 35а'!D36</f>
        <v>0</v>
      </c>
      <c r="I31" s="76">
        <f>'Ленина 36'!D36</f>
        <v>0</v>
      </c>
      <c r="J31" s="76">
        <f>'Ленина 38-7'!D36</f>
        <v>0</v>
      </c>
      <c r="K31" s="76">
        <f>'Ленина 39'!D36</f>
        <v>0</v>
      </c>
      <c r="L31" s="76">
        <f>'Ленина 45'!D36</f>
        <v>0</v>
      </c>
      <c r="M31" s="76">
        <f>'Ленина 47-12'!D36</f>
        <v>0</v>
      </c>
      <c r="N31" s="76">
        <f>'Корешкова 6'!D36</f>
        <v>0</v>
      </c>
      <c r="O31" s="76">
        <f>'Корешкова 8-50'!D36</f>
        <v>0</v>
      </c>
      <c r="P31" s="76">
        <f>'Первомайская 46а'!D36</f>
        <v>0</v>
      </c>
      <c r="Q31" s="76">
        <f>'Первомайская 48'!D36</f>
        <v>0</v>
      </c>
      <c r="R31" s="76">
        <f>'Советская 12-1'!D36</f>
        <v>0</v>
      </c>
      <c r="S31" s="76">
        <f>'Советская 14'!D36</f>
        <v>0</v>
      </c>
      <c r="T31" s="76">
        <f>'пр-зд Чернышевского 18а'!D36</f>
        <v>0</v>
      </c>
      <c r="U31" s="76">
        <f t="shared" si="0"/>
        <v>0</v>
      </c>
    </row>
    <row r="32" spans="1:21" ht="29.25" customHeight="1">
      <c r="A32" s="6" t="s">
        <v>68</v>
      </c>
      <c r="B32" s="16" t="s">
        <v>69</v>
      </c>
      <c r="C32" s="8" t="s">
        <v>65</v>
      </c>
      <c r="D32" s="17"/>
      <c r="E32" s="76">
        <f>'Ленина 32-16'!D37</f>
        <v>0</v>
      </c>
      <c r="F32" s="76">
        <f>'Ленина 34'!D37</f>
        <v>0</v>
      </c>
      <c r="G32" s="76">
        <f>'Ленина 35-20'!D37</f>
        <v>0</v>
      </c>
      <c r="H32" s="76">
        <f>'Ленина 35а'!D37</f>
        <v>0</v>
      </c>
      <c r="I32" s="76">
        <f>'Ленина 36'!D37</f>
        <v>0</v>
      </c>
      <c r="J32" s="76">
        <f>'Ленина 38-7'!D37</f>
        <v>0</v>
      </c>
      <c r="K32" s="76">
        <f>'Ленина 39'!D37</f>
        <v>0</v>
      </c>
      <c r="L32" s="76">
        <f>'Ленина 45'!D37</f>
        <v>0</v>
      </c>
      <c r="M32" s="76">
        <f>'Ленина 47-12'!D37</f>
        <v>0</v>
      </c>
      <c r="N32" s="76">
        <f>'Корешкова 6'!D37</f>
        <v>0</v>
      </c>
      <c r="O32" s="76">
        <f>'Корешкова 8-50'!D37</f>
        <v>0</v>
      </c>
      <c r="P32" s="76">
        <f>'Первомайская 46а'!D37</f>
        <v>0</v>
      </c>
      <c r="Q32" s="76">
        <f>'Первомайская 48'!D37</f>
        <v>0</v>
      </c>
      <c r="R32" s="76">
        <f>'Советская 12-1'!D37</f>
        <v>0</v>
      </c>
      <c r="S32" s="76">
        <f>'Советская 14'!D37</f>
        <v>0</v>
      </c>
      <c r="T32" s="76">
        <f>'пр-зд Чернышевского 18а'!D37</f>
        <v>0</v>
      </c>
      <c r="U32" s="76">
        <f t="shared" si="0"/>
        <v>0</v>
      </c>
    </row>
    <row r="33" spans="1:21" ht="29.25" customHeight="1">
      <c r="A33" s="6" t="s">
        <v>70</v>
      </c>
      <c r="B33" s="16" t="s">
        <v>71</v>
      </c>
      <c r="C33" s="8" t="s">
        <v>16</v>
      </c>
      <c r="D33" s="17"/>
      <c r="E33" s="76">
        <f>'Ленина 32-16'!D38</f>
        <v>0</v>
      </c>
      <c r="F33" s="76">
        <f>'Ленина 34'!D38</f>
        <v>0</v>
      </c>
      <c r="G33" s="76">
        <f>'Ленина 35-20'!D38</f>
        <v>0</v>
      </c>
      <c r="H33" s="76">
        <f>'Ленина 35а'!D38</f>
        <v>0</v>
      </c>
      <c r="I33" s="76">
        <f>'Ленина 36'!D38</f>
        <v>0</v>
      </c>
      <c r="J33" s="76">
        <f>'Ленина 38-7'!D38</f>
        <v>0</v>
      </c>
      <c r="K33" s="76">
        <f>'Ленина 39'!D38</f>
        <v>0</v>
      </c>
      <c r="L33" s="76">
        <f>'Ленина 45'!D38</f>
        <v>0</v>
      </c>
      <c r="M33" s="76">
        <f>'Ленина 47-12'!D38</f>
        <v>0</v>
      </c>
      <c r="N33" s="76">
        <f>'Корешкова 6'!D38</f>
        <v>0</v>
      </c>
      <c r="O33" s="76">
        <f>'Корешкова 8-50'!D38</f>
        <v>0</v>
      </c>
      <c r="P33" s="76">
        <f>'Первомайская 46а'!D38</f>
        <v>0</v>
      </c>
      <c r="Q33" s="76">
        <f>'Первомайская 48'!D38</f>
        <v>0</v>
      </c>
      <c r="R33" s="76">
        <f>'Советская 12-1'!D38</f>
        <v>0</v>
      </c>
      <c r="S33" s="76">
        <f>'Советская 14'!D38</f>
        <v>0</v>
      </c>
      <c r="T33" s="76">
        <f>'пр-зд Чернышевского 18а'!D38</f>
        <v>0</v>
      </c>
      <c r="U33" s="76">
        <f t="shared" si="0"/>
        <v>0</v>
      </c>
    </row>
    <row r="34" spans="1:21" ht="29.25" customHeight="1">
      <c r="A34" s="107" t="s">
        <v>72</v>
      </c>
      <c r="B34" s="107"/>
      <c r="C34" s="107"/>
      <c r="D34" s="94"/>
      <c r="E34" s="76">
        <f>'Ленина 32-16'!D39</f>
        <v>0</v>
      </c>
      <c r="F34" s="76">
        <f>'Ленина 34'!D39</f>
        <v>0</v>
      </c>
      <c r="G34" s="76">
        <f>'Ленина 35-20'!D39</f>
        <v>0</v>
      </c>
      <c r="H34" s="76">
        <f>'Ленина 35а'!D39</f>
        <v>0</v>
      </c>
      <c r="I34" s="76">
        <f>'Ленина 36'!D39</f>
        <v>0</v>
      </c>
      <c r="J34" s="76">
        <f>'Ленина 38-7'!D39</f>
        <v>0</v>
      </c>
      <c r="K34" s="76">
        <f>'Ленина 39'!D39</f>
        <v>0</v>
      </c>
      <c r="L34" s="76">
        <f>'Ленина 45'!D39</f>
        <v>0</v>
      </c>
      <c r="M34" s="76">
        <f>'Ленина 47-12'!D39</f>
        <v>0</v>
      </c>
      <c r="N34" s="76">
        <f>'Корешкова 6'!D39</f>
        <v>0</v>
      </c>
      <c r="O34" s="76">
        <f>'Корешкова 8-50'!D39</f>
        <v>0</v>
      </c>
      <c r="P34" s="76">
        <f>'Первомайская 46а'!D39</f>
        <v>0</v>
      </c>
      <c r="Q34" s="76">
        <f>'Первомайская 48'!D39</f>
        <v>0</v>
      </c>
      <c r="R34" s="76">
        <f>'Советская 12-1'!D39</f>
        <v>0</v>
      </c>
      <c r="S34" s="76">
        <f>'Советская 14'!D39</f>
        <v>0</v>
      </c>
      <c r="T34" s="76">
        <f>'пр-зд Чернышевского 18а'!D39</f>
        <v>0</v>
      </c>
      <c r="U34" s="76">
        <f t="shared" si="0"/>
        <v>0</v>
      </c>
    </row>
    <row r="35" spans="1:21" ht="29.25" customHeight="1">
      <c r="A35" s="6" t="s">
        <v>73</v>
      </c>
      <c r="B35" s="16" t="s">
        <v>74</v>
      </c>
      <c r="C35" s="8" t="s">
        <v>16</v>
      </c>
      <c r="D35" s="17">
        <f>'Полярный пр-зд 5а'!D40</f>
        <v>70836.22</v>
      </c>
      <c r="E35" s="76">
        <f>'Ленина 32-16'!D40</f>
        <v>288677.8</v>
      </c>
      <c r="F35" s="76">
        <f>'Ленина 34'!D40</f>
        <v>0</v>
      </c>
      <c r="G35" s="76">
        <f>'Ленина 35-20'!D40</f>
        <v>366652.6</v>
      </c>
      <c r="H35" s="76">
        <f>'Ленина 35а'!D40</f>
        <v>0</v>
      </c>
      <c r="I35" s="76">
        <f>'Ленина 36'!D40</f>
        <v>0</v>
      </c>
      <c r="J35" s="76">
        <f>'Ленина 38-7'!D40</f>
        <v>310614.92</v>
      </c>
      <c r="K35" s="76">
        <f>'Ленина 39'!D40</f>
        <v>172470.36</v>
      </c>
      <c r="L35" s="76">
        <f>'Ленина 45'!D40</f>
        <v>0</v>
      </c>
      <c r="M35" s="76">
        <f>'Ленина 47-12'!D40</f>
        <v>0</v>
      </c>
      <c r="N35" s="76">
        <f>'Корешкова 6'!D40</f>
        <v>285808.57</v>
      </c>
      <c r="O35" s="76">
        <f>'Корешкова 8-50'!D40</f>
        <v>327581.23</v>
      </c>
      <c r="P35" s="76">
        <f>'Первомайская 46а'!D40</f>
        <v>107907.73</v>
      </c>
      <c r="Q35" s="76">
        <f>'Первомайская 48'!D40</f>
        <v>199218.29</v>
      </c>
      <c r="R35" s="76">
        <f>'Советская 12-1'!D40</f>
        <v>158568.53</v>
      </c>
      <c r="S35" s="76">
        <f>'Советская 14'!D40</f>
        <v>94573.73</v>
      </c>
      <c r="T35" s="76">
        <f>'пр-зд Чернышевского 18а'!D40</f>
        <v>0</v>
      </c>
      <c r="U35" s="76">
        <f t="shared" si="0"/>
        <v>2382909.9799999995</v>
      </c>
    </row>
    <row r="36" spans="1:21" ht="16.5" customHeight="1">
      <c r="A36" s="6" t="s">
        <v>75</v>
      </c>
      <c r="B36" s="15" t="s">
        <v>18</v>
      </c>
      <c r="C36" s="8" t="s">
        <v>16</v>
      </c>
      <c r="D36" s="17">
        <f>'Полярный пр-зд 5а'!D41</f>
        <v>0</v>
      </c>
      <c r="E36" s="76">
        <f>'Ленина 32-16'!D41</f>
        <v>0</v>
      </c>
      <c r="F36" s="76">
        <f>'Ленина 34'!D41</f>
        <v>0</v>
      </c>
      <c r="G36" s="76">
        <f>'Ленина 35-20'!D41</f>
        <v>0</v>
      </c>
      <c r="H36" s="76">
        <f>'Ленина 35а'!D41</f>
        <v>0</v>
      </c>
      <c r="I36" s="76">
        <f>'Ленина 36'!D41</f>
        <v>0</v>
      </c>
      <c r="J36" s="76">
        <f>'Ленина 38-7'!D41</f>
        <v>0</v>
      </c>
      <c r="K36" s="76">
        <f>'Ленина 39'!D41</f>
        <v>0</v>
      </c>
      <c r="L36" s="76">
        <f>'Ленина 45'!D41</f>
        <v>0</v>
      </c>
      <c r="M36" s="76">
        <f>'Ленина 47-12'!D41</f>
        <v>0</v>
      </c>
      <c r="N36" s="76">
        <f>'Корешкова 6'!D41</f>
        <v>0</v>
      </c>
      <c r="O36" s="76">
        <f>'Корешкова 8-50'!D41</f>
        <v>0</v>
      </c>
      <c r="P36" s="76">
        <f>'Первомайская 46а'!D41</f>
        <v>0</v>
      </c>
      <c r="Q36" s="76">
        <f>'Первомайская 48'!D41</f>
        <v>0</v>
      </c>
      <c r="R36" s="76">
        <f>'Советская 12-1'!D41</f>
        <v>0</v>
      </c>
      <c r="S36" s="76">
        <f>'Советская 14'!D41</f>
        <v>0</v>
      </c>
      <c r="T36" s="76">
        <f>'пр-зд Чернышевского 18а'!D41</f>
        <v>0</v>
      </c>
      <c r="U36" s="76">
        <f t="shared" si="0"/>
        <v>0</v>
      </c>
    </row>
    <row r="37" spans="1:21" ht="16.5" customHeight="1">
      <c r="A37" s="6" t="s">
        <v>76</v>
      </c>
      <c r="B37" s="15" t="s">
        <v>20</v>
      </c>
      <c r="C37" s="8" t="s">
        <v>16</v>
      </c>
      <c r="D37" s="17">
        <f>'Полярный пр-зд 5а'!D42</f>
        <v>70836.22</v>
      </c>
      <c r="E37" s="76">
        <f>'Ленина 32-16'!D42</f>
        <v>288677.8</v>
      </c>
      <c r="F37" s="76">
        <f>'Ленина 34'!D42</f>
        <v>0</v>
      </c>
      <c r="G37" s="76">
        <f>'Ленина 35-20'!D42</f>
        <v>366652.6</v>
      </c>
      <c r="H37" s="76">
        <f>'Ленина 35а'!D42</f>
        <v>0</v>
      </c>
      <c r="I37" s="76">
        <f>'Ленина 36'!D42</f>
        <v>0</v>
      </c>
      <c r="J37" s="76">
        <f>'Ленина 38-7'!D42</f>
        <v>310614.92</v>
      </c>
      <c r="K37" s="76">
        <f>'Ленина 39'!D42</f>
        <v>172470.36</v>
      </c>
      <c r="L37" s="76">
        <f>'Ленина 45'!D42</f>
        <v>0</v>
      </c>
      <c r="M37" s="76">
        <f>'Ленина 47-12'!D42</f>
        <v>0</v>
      </c>
      <c r="N37" s="76">
        <f>'Корешкова 6'!D42</f>
        <v>285808.57</v>
      </c>
      <c r="O37" s="76">
        <f>'Корешкова 8-50'!D42</f>
        <v>327581.23</v>
      </c>
      <c r="P37" s="76">
        <f>'Первомайская 46а'!D42</f>
        <v>107907.73</v>
      </c>
      <c r="Q37" s="76">
        <f>'Первомайская 48'!D42</f>
        <v>199218.29</v>
      </c>
      <c r="R37" s="76">
        <f>'Советская 12-1'!D42</f>
        <v>158568.53</v>
      </c>
      <c r="S37" s="76">
        <f>'Советская 14'!D42</f>
        <v>94573.73</v>
      </c>
      <c r="T37" s="76">
        <f>'пр-зд Чернышевского 18а'!D42</f>
        <v>0</v>
      </c>
      <c r="U37" s="76">
        <f t="shared" si="0"/>
        <v>2382909.9799999995</v>
      </c>
    </row>
    <row r="38" spans="1:21" ht="29.25" customHeight="1">
      <c r="A38" s="6" t="s">
        <v>77</v>
      </c>
      <c r="B38" s="16" t="s">
        <v>78</v>
      </c>
      <c r="C38" s="8" t="s">
        <v>16</v>
      </c>
      <c r="D38" s="17">
        <f>'Полярный пр-зд 5а'!D43</f>
        <v>58074.08</v>
      </c>
      <c r="E38" s="76">
        <f>'Ленина 32-16'!D43</f>
        <v>388439.26</v>
      </c>
      <c r="F38" s="76">
        <f>'Ленина 34'!D43</f>
        <v>144514.9</v>
      </c>
      <c r="G38" s="76">
        <f>'Ленина 35-20'!D43</f>
        <v>479356.81999999995</v>
      </c>
      <c r="H38" s="76">
        <f>'Ленина 35а'!D43</f>
        <v>140743.93</v>
      </c>
      <c r="I38" s="76">
        <f>'Ленина 36'!D43</f>
        <v>79928.57</v>
      </c>
      <c r="J38" s="76">
        <f>'Ленина 38-7'!D43</f>
        <v>431826.53</v>
      </c>
      <c r="K38" s="76">
        <f>'Ленина 39'!D43</f>
        <v>274635.65</v>
      </c>
      <c r="L38" s="76">
        <f>'Ленина 45'!D43</f>
        <v>30710.16</v>
      </c>
      <c r="M38" s="76">
        <f>'Ленина 47-12'!D43</f>
        <v>202953.29</v>
      </c>
      <c r="N38" s="76">
        <f>'Корешкова 6'!D43</f>
        <v>321043.57</v>
      </c>
      <c r="O38" s="76">
        <f>'Корешкова 8-50'!D43</f>
        <v>401123.47</v>
      </c>
      <c r="P38" s="76">
        <f>'Первомайская 46а'!D43</f>
        <v>164520.93</v>
      </c>
      <c r="Q38" s="76">
        <f>'Первомайская 48'!D43</f>
        <v>185912.58000000002</v>
      </c>
      <c r="R38" s="76">
        <f>'Советская 12-1'!D43</f>
        <v>309295.25</v>
      </c>
      <c r="S38" s="76">
        <f>'Советская 14'!D43</f>
        <v>113690.93</v>
      </c>
      <c r="T38" s="76">
        <f>'пр-зд Чернышевского 18а'!D43</f>
        <v>44085.14</v>
      </c>
      <c r="U38" s="76">
        <f t="shared" si="0"/>
        <v>3770855.06</v>
      </c>
    </row>
    <row r="39" spans="1:21" ht="15" customHeight="1">
      <c r="A39" s="6" t="s">
        <v>79</v>
      </c>
      <c r="B39" s="15" t="s">
        <v>18</v>
      </c>
      <c r="C39" s="8" t="s">
        <v>16</v>
      </c>
      <c r="D39" s="17">
        <f>'Полярный пр-зд 5а'!D44</f>
        <v>0</v>
      </c>
      <c r="E39" s="76">
        <f>'Ленина 32-16'!D44</f>
        <v>0</v>
      </c>
      <c r="F39" s="76">
        <f>'Ленина 34'!D44</f>
        <v>0</v>
      </c>
      <c r="G39" s="76">
        <f>'Ленина 35-20'!D44</f>
        <v>0</v>
      </c>
      <c r="H39" s="76">
        <f>'Ленина 35а'!D44</f>
        <v>0</v>
      </c>
      <c r="I39" s="76">
        <f>'Ленина 36'!D44</f>
        <v>0</v>
      </c>
      <c r="J39" s="76">
        <f>'Ленина 38-7'!D44</f>
        <v>0</v>
      </c>
      <c r="K39" s="76">
        <f>'Ленина 39'!D44</f>
        <v>0</v>
      </c>
      <c r="L39" s="76">
        <f>'Ленина 45'!D44</f>
        <v>0</v>
      </c>
      <c r="M39" s="76">
        <f>'Ленина 47-12'!D44</f>
        <v>0</v>
      </c>
      <c r="N39" s="76">
        <f>'Корешкова 6'!D44</f>
        <v>0</v>
      </c>
      <c r="O39" s="76">
        <f>'Корешкова 8-50'!D44</f>
        <v>0</v>
      </c>
      <c r="P39" s="76">
        <f>'Первомайская 46а'!D44</f>
        <v>0</v>
      </c>
      <c r="Q39" s="76">
        <f>'Первомайская 48'!D44</f>
        <v>0</v>
      </c>
      <c r="R39" s="76">
        <f>'Советская 12-1'!D44</f>
        <v>0</v>
      </c>
      <c r="S39" s="76">
        <f>'Советская 14'!D44</f>
        <v>0</v>
      </c>
      <c r="T39" s="76">
        <f>'пр-зд Чернышевского 18а'!D44</f>
        <v>0</v>
      </c>
      <c r="U39" s="76">
        <f t="shared" si="0"/>
        <v>0</v>
      </c>
    </row>
    <row r="40" spans="1:21" ht="15" customHeight="1">
      <c r="A40" s="6" t="s">
        <v>80</v>
      </c>
      <c r="B40" s="15" t="s">
        <v>20</v>
      </c>
      <c r="C40" s="8" t="s">
        <v>16</v>
      </c>
      <c r="D40" s="17">
        <f>'Полярный пр-зд 5а'!D45</f>
        <v>58074.08</v>
      </c>
      <c r="E40" s="76">
        <f>'Ленина 32-16'!D45</f>
        <v>388439.26</v>
      </c>
      <c r="F40" s="76">
        <f>'Ленина 34'!D45</f>
        <v>144514.9</v>
      </c>
      <c r="G40" s="76">
        <f>'Ленина 35-20'!D45</f>
        <v>479356.81999999995</v>
      </c>
      <c r="H40" s="76">
        <f>'Ленина 35а'!D45</f>
        <v>140743.93</v>
      </c>
      <c r="I40" s="76">
        <f>'Ленина 36'!D45</f>
        <v>79928.57</v>
      </c>
      <c r="J40" s="76">
        <f>'Ленина 38-7'!D45</f>
        <v>431826.53</v>
      </c>
      <c r="K40" s="76">
        <f>'Ленина 39'!D45</f>
        <v>274635.65</v>
      </c>
      <c r="L40" s="76">
        <f>'Ленина 45'!D45</f>
        <v>30710.16</v>
      </c>
      <c r="M40" s="76">
        <f>'Ленина 47-12'!D45</f>
        <v>202953.29</v>
      </c>
      <c r="N40" s="76">
        <f>'Корешкова 6'!D45</f>
        <v>321043.57</v>
      </c>
      <c r="O40" s="76">
        <f>'Корешкова 8-50'!D45</f>
        <v>401123.47</v>
      </c>
      <c r="P40" s="76">
        <f>'Первомайская 46а'!D45</f>
        <v>164520.94</v>
      </c>
      <c r="Q40" s="76">
        <f>'Первомайская 48'!D45</f>
        <v>185912.47999999998</v>
      </c>
      <c r="R40" s="76">
        <f>'Советская 12-1'!D45</f>
        <v>309295.25</v>
      </c>
      <c r="S40" s="76">
        <f>'Советская 14'!D45</f>
        <v>113690.94</v>
      </c>
      <c r="T40" s="76">
        <f>'пр-зд Чернышевского 18а'!D45</f>
        <v>44085.14</v>
      </c>
      <c r="U40" s="76">
        <f t="shared" si="0"/>
        <v>3770854.9799999995</v>
      </c>
    </row>
    <row r="41" spans="1:21" ht="29.25" customHeight="1">
      <c r="A41" s="104" t="s">
        <v>81</v>
      </c>
      <c r="B41" s="105"/>
      <c r="C41" s="106"/>
      <c r="D41" s="94"/>
      <c r="E41" s="76">
        <f>'Ленина 32-16'!D46</f>
        <v>0</v>
      </c>
      <c r="F41" s="76">
        <f>'Ленина 34'!D46</f>
        <v>0</v>
      </c>
      <c r="G41" s="76">
        <f>'Ленина 35-20'!D46</f>
        <v>0</v>
      </c>
      <c r="H41" s="76">
        <f>'Ленина 35а'!D46</f>
        <v>0</v>
      </c>
      <c r="I41" s="76">
        <f>'Ленина 36'!D46</f>
        <v>0</v>
      </c>
      <c r="J41" s="76">
        <f>'Ленина 38-7'!D46</f>
        <v>0</v>
      </c>
      <c r="K41" s="76">
        <f>'Ленина 39'!D46</f>
        <v>0</v>
      </c>
      <c r="L41" s="76">
        <f>'Ленина 45'!D46</f>
        <v>0</v>
      </c>
      <c r="M41" s="76">
        <f>'Ленина 47-12'!D46</f>
        <v>0</v>
      </c>
      <c r="N41" s="76">
        <f>'Корешкова 6'!D46</f>
        <v>0</v>
      </c>
      <c r="O41" s="76">
        <f>'Корешкова 8-50'!D46</f>
        <v>0</v>
      </c>
      <c r="P41" s="76">
        <f>'Первомайская 46а'!D46</f>
        <v>0</v>
      </c>
      <c r="Q41" s="76">
        <f>'Первомайская 48'!D46</f>
        <v>0</v>
      </c>
      <c r="R41" s="76">
        <f>'Советская 12-1'!D46</f>
        <v>0</v>
      </c>
      <c r="S41" s="76">
        <f>'Советская 14'!D46</f>
        <v>0</v>
      </c>
      <c r="T41" s="76">
        <f>'пр-зд Чернышевского 18а'!D46</f>
        <v>0</v>
      </c>
      <c r="U41" s="76">
        <f t="shared" si="0"/>
        <v>0</v>
      </c>
    </row>
    <row r="42" spans="1:21" s="80" customFormat="1" ht="27" customHeight="1">
      <c r="A42" s="6" t="s">
        <v>82</v>
      </c>
      <c r="B42" s="16" t="s">
        <v>83</v>
      </c>
      <c r="C42" s="8" t="s">
        <v>7</v>
      </c>
      <c r="D42" s="71" t="s">
        <v>84</v>
      </c>
      <c r="E42" s="79" t="str">
        <f>'Ленина 32-16'!D47</f>
        <v>Холодное водоснабжение</v>
      </c>
      <c r="F42" s="79" t="str">
        <f>'Ленина 34'!D47</f>
        <v>Холодное водоснабжение</v>
      </c>
      <c r="G42" s="79" t="str">
        <f>'Ленина 35-20'!D47</f>
        <v>Холодное водоснабжение</v>
      </c>
      <c r="H42" s="79" t="str">
        <f>'Ленина 35а'!D47</f>
        <v>Холодное водоснабжение</v>
      </c>
      <c r="I42" s="79" t="str">
        <f>'Ленина 36'!D47</f>
        <v>Холодное водоснабжение</v>
      </c>
      <c r="J42" s="79" t="str">
        <f>'Ленина 38-7'!D47</f>
        <v>Холодное водоснабжение</v>
      </c>
      <c r="K42" s="79" t="str">
        <f>'Ленина 39'!D47</f>
        <v>Холодное водоснабжение</v>
      </c>
      <c r="L42" s="79" t="str">
        <f>'Ленина 45'!D47</f>
        <v>Холодное водоснабжение</v>
      </c>
      <c r="M42" s="79" t="str">
        <f>'Ленина 47-12'!D47</f>
        <v>Холодное водоснабжение</v>
      </c>
      <c r="N42" s="79" t="str">
        <f>'Корешкова 6'!D47</f>
        <v>Холодное водоснабжение</v>
      </c>
      <c r="O42" s="79" t="str">
        <f>'Корешкова 8-50'!D47</f>
        <v>Холодное водоснабжение</v>
      </c>
      <c r="P42" s="79" t="str">
        <f>'Первомайская 46а'!D47</f>
        <v>Холодное водоснабжение</v>
      </c>
      <c r="Q42" s="79" t="str">
        <f>'Первомайская 48'!D47</f>
        <v>Холодное водоснабжение</v>
      </c>
      <c r="R42" s="79" t="str">
        <f>'Советская 12-1'!D47</f>
        <v>Холодное водоснабжение</v>
      </c>
      <c r="S42" s="79" t="str">
        <f>'Советская 14'!D47</f>
        <v>Холодное водоснабжение</v>
      </c>
      <c r="T42" s="79" t="str">
        <f>'пр-зд Чернышевского 18а'!D47</f>
        <v>Холодное водоснабжение</v>
      </c>
      <c r="U42" s="79">
        <f t="shared" si="0"/>
        <v>0</v>
      </c>
    </row>
    <row r="43" spans="1:21" ht="17.25" customHeight="1">
      <c r="A43" s="6" t="s">
        <v>85</v>
      </c>
      <c r="B43" s="16" t="s">
        <v>86</v>
      </c>
      <c r="C43" s="8" t="s">
        <v>7</v>
      </c>
      <c r="D43" s="17" t="s">
        <v>87</v>
      </c>
      <c r="E43" s="76" t="str">
        <f>'Ленина 32-16'!D48</f>
        <v>куб.м</v>
      </c>
      <c r="F43" s="76" t="str">
        <f>'Ленина 34'!D48</f>
        <v>куб.м</v>
      </c>
      <c r="G43" s="76" t="str">
        <f>'Ленина 35-20'!D48</f>
        <v>куб.м</v>
      </c>
      <c r="H43" s="76" t="str">
        <f>'Ленина 35а'!D48</f>
        <v>куб.м</v>
      </c>
      <c r="I43" s="76" t="str">
        <f>'Ленина 36'!D48</f>
        <v>куб.м</v>
      </c>
      <c r="J43" s="76" t="str">
        <f>'Ленина 38-7'!D48</f>
        <v>куб.м</v>
      </c>
      <c r="K43" s="76" t="str">
        <f>'Ленина 39'!D48</f>
        <v>куб.м</v>
      </c>
      <c r="L43" s="76" t="str">
        <f>'Ленина 45'!D48</f>
        <v>куб.м</v>
      </c>
      <c r="M43" s="76" t="str">
        <f>'Ленина 47-12'!D48</f>
        <v>куб.м</v>
      </c>
      <c r="N43" s="76" t="str">
        <f>'Корешкова 6'!D48</f>
        <v>куб.м</v>
      </c>
      <c r="O43" s="76" t="str">
        <f>'Корешкова 8-50'!D48</f>
        <v>куб.м</v>
      </c>
      <c r="P43" s="76" t="str">
        <f>'Первомайская 46а'!D48</f>
        <v>куб.м</v>
      </c>
      <c r="Q43" s="76" t="str">
        <f>'Первомайская 48'!D48</f>
        <v>куб.м</v>
      </c>
      <c r="R43" s="76" t="str">
        <f>'Советская 12-1'!D48</f>
        <v>куб.м</v>
      </c>
      <c r="S43" s="76" t="str">
        <f>'Советская 14'!D48</f>
        <v>куб.м</v>
      </c>
      <c r="T43" s="76" t="str">
        <f>'пр-зд Чернышевского 18а'!D48</f>
        <v>куб.м</v>
      </c>
      <c r="U43" s="76">
        <f t="shared" si="0"/>
        <v>0</v>
      </c>
    </row>
    <row r="44" spans="1:21" ht="17.25" customHeight="1">
      <c r="A44" s="6" t="s">
        <v>88</v>
      </c>
      <c r="B44" s="16" t="s">
        <v>89</v>
      </c>
      <c r="C44" s="8" t="s">
        <v>90</v>
      </c>
      <c r="D44" s="17">
        <f>'Полярный пр-зд 5а'!D49</f>
        <v>8786.211655874191</v>
      </c>
      <c r="E44" s="76">
        <f>'Ленина 32-16'!D49</f>
        <v>18841.58186864015</v>
      </c>
      <c r="F44" s="76">
        <f>'Ленина 34'!D49</f>
        <v>5178.239045244033</v>
      </c>
      <c r="G44" s="76">
        <f>'Ленина 35-20'!D49</f>
        <v>19038.56873265495</v>
      </c>
      <c r="H44" s="76">
        <f>'Ленина 35а'!D49</f>
        <v>6676.875311720699</v>
      </c>
      <c r="I44" s="76">
        <f>'Ленина 36'!D49</f>
        <v>7317.679016743855</v>
      </c>
      <c r="J44" s="76">
        <f>'Ленина 38-7'!D49</f>
        <v>13979.622571692877</v>
      </c>
      <c r="K44" s="76">
        <f>'Ленина 39'!D49</f>
        <v>15537.5111933395</v>
      </c>
      <c r="L44" s="76">
        <f>'Ленина 45'!D49</f>
        <v>5689.045600285002</v>
      </c>
      <c r="M44" s="76">
        <f>'Ленина 47-12'!D49</f>
        <v>8595.338795867474</v>
      </c>
      <c r="N44" s="76">
        <f>'Корешкова 6'!D49</f>
        <v>13412.398889916745</v>
      </c>
      <c r="O44" s="76">
        <f>'Корешкова 8-50'!D49</f>
        <v>13294.132839962998</v>
      </c>
      <c r="P44" s="76">
        <f>'Первомайская 46а'!D49</f>
        <v>10163.901572617948</v>
      </c>
      <c r="Q44" s="76">
        <f>'Первомайская 48'!D49</f>
        <v>8362.402960222018</v>
      </c>
      <c r="R44" s="76">
        <f>'Советская 12-1'!D49</f>
        <v>13448.502127659576</v>
      </c>
      <c r="S44" s="76">
        <f>'Советская 14'!D49</f>
        <v>7637.122877122876</v>
      </c>
      <c r="T44" s="76">
        <f>'пр-зд Чернышевского 18а'!D49</f>
        <v>3028.9070181688635</v>
      </c>
      <c r="U44" s="76">
        <f t="shared" si="0"/>
        <v>178988.0420777337</v>
      </c>
    </row>
    <row r="45" spans="1:21" ht="17.25" customHeight="1">
      <c r="A45" s="6" t="s">
        <v>91</v>
      </c>
      <c r="B45" s="16" t="s">
        <v>92</v>
      </c>
      <c r="C45" s="8" t="s">
        <v>16</v>
      </c>
      <c r="D45" s="17">
        <f>'Полярный пр-зд 5а'!D50</f>
        <v>237447.37</v>
      </c>
      <c r="E45" s="76">
        <f>'Ленина 32-16'!D50</f>
        <v>509193.75</v>
      </c>
      <c r="F45" s="76">
        <f>'Ленина 34'!D50</f>
        <v>145353.17</v>
      </c>
      <c r="G45" s="76">
        <f>'Ленина 35-20'!D50</f>
        <v>514517.32</v>
      </c>
      <c r="H45" s="76">
        <f>'Ленина 35а'!D50</f>
        <v>187419.89</v>
      </c>
      <c r="I45" s="76">
        <f>'Ленина 36'!D50</f>
        <v>205407.25</v>
      </c>
      <c r="J45" s="76">
        <f>'Ленина 38-7'!D50</f>
        <v>377799.3</v>
      </c>
      <c r="K45" s="76">
        <f>'Ленина 39'!D50</f>
        <v>419901.24</v>
      </c>
      <c r="L45" s="76">
        <f>'Ленина 45'!D50</f>
        <v>159691.51</v>
      </c>
      <c r="M45" s="76">
        <f>'Ленина 47-12'!D50</f>
        <v>241271.16</v>
      </c>
      <c r="N45" s="76">
        <f>'Корешкова 6'!D50</f>
        <v>362470.08</v>
      </c>
      <c r="O45" s="76">
        <f>'Корешкова 8-50'!D50</f>
        <v>359273.94</v>
      </c>
      <c r="P45" s="76">
        <f>'Первомайская 46а'!D50</f>
        <v>274679.44</v>
      </c>
      <c r="Q45" s="76">
        <f>'Первомайская 48'!D50</f>
        <v>225993.94</v>
      </c>
      <c r="R45" s="76">
        <f>'Советская 12-1'!D50</f>
        <v>363445.77</v>
      </c>
      <c r="S45" s="76">
        <f>'Советская 14'!D50</f>
        <v>206408.52</v>
      </c>
      <c r="T45" s="76">
        <f>'пр-зд Чернышевского 18а'!D50</f>
        <v>85021.42</v>
      </c>
      <c r="U45" s="76">
        <f t="shared" si="0"/>
        <v>4875295.07</v>
      </c>
    </row>
    <row r="46" spans="1:21" ht="17.25" customHeight="1">
      <c r="A46" s="6" t="s">
        <v>93</v>
      </c>
      <c r="B46" s="15" t="s">
        <v>94</v>
      </c>
      <c r="C46" s="8" t="s">
        <v>16</v>
      </c>
      <c r="D46" s="17">
        <f>'Полярный пр-зд 5а'!D51</f>
        <v>240230.8</v>
      </c>
      <c r="E46" s="76">
        <f>'Ленина 32-16'!D51</f>
        <v>492419.14</v>
      </c>
      <c r="F46" s="76">
        <f>'Ленина 34'!D51</f>
        <v>122280.74</v>
      </c>
      <c r="G46" s="76">
        <f>'Ленина 35-20'!D51</f>
        <v>495682.41</v>
      </c>
      <c r="H46" s="76">
        <f>'Ленина 35а'!D51</f>
        <v>159189.17</v>
      </c>
      <c r="I46" s="76">
        <f>'Ленина 36'!D51</f>
        <v>191321.41</v>
      </c>
      <c r="J46" s="76">
        <f>'Ленина 38-7'!D51</f>
        <v>356937.23</v>
      </c>
      <c r="K46" s="76">
        <f>'Ленина 39'!D51</f>
        <v>401868.28</v>
      </c>
      <c r="L46" s="76">
        <f>'Ленина 45'!D51</f>
        <v>153078.41</v>
      </c>
      <c r="M46" s="76">
        <f>'Ленина 47-12'!D51</f>
        <v>204840.11</v>
      </c>
      <c r="N46" s="76">
        <f>'Корешкова 6'!D51</f>
        <v>355997.65</v>
      </c>
      <c r="O46" s="76">
        <f>'Корешкова 8-50'!D51</f>
        <v>345828.8</v>
      </c>
      <c r="P46" s="76">
        <f>'Первомайская 46а'!D51</f>
        <v>269482.59</v>
      </c>
      <c r="Q46" s="76">
        <f>'Первомайская 48'!D51</f>
        <v>232345.45</v>
      </c>
      <c r="R46" s="76">
        <f>'Советская 12-1'!D51</f>
        <v>338098.9</v>
      </c>
      <c r="S46" s="76">
        <f>'Советская 14'!D51</f>
        <v>202836.94</v>
      </c>
      <c r="T46" s="76">
        <f>'пр-зд Чернышевского 18а'!D51</f>
        <v>76017.25</v>
      </c>
      <c r="U46" s="76">
        <f t="shared" si="0"/>
        <v>4638455.28</v>
      </c>
    </row>
    <row r="47" spans="1:21" ht="17.25" customHeight="1">
      <c r="A47" s="6" t="s">
        <v>95</v>
      </c>
      <c r="B47" s="15" t="s">
        <v>96</v>
      </c>
      <c r="C47" s="8" t="s">
        <v>16</v>
      </c>
      <c r="D47" s="17">
        <f>'Полярный пр-зд 5а'!D52</f>
        <v>12666.01</v>
      </c>
      <c r="E47" s="76">
        <f>'Ленина 32-16'!D52</f>
        <v>65314.97</v>
      </c>
      <c r="F47" s="76">
        <f>'Ленина 34'!D52</f>
        <v>23072.44</v>
      </c>
      <c r="G47" s="76">
        <f>'Ленина 35-20'!D52</f>
        <v>80109.18</v>
      </c>
      <c r="H47" s="76">
        <f>'Ленина 35а'!D52</f>
        <v>28230.72</v>
      </c>
      <c r="I47" s="76">
        <f>'Ленина 36'!D52</f>
        <v>14085.84</v>
      </c>
      <c r="J47" s="76">
        <f>'Ленина 38-7'!D52</f>
        <v>74322.86</v>
      </c>
      <c r="K47" s="76">
        <f>'Ленина 39'!D52</f>
        <v>48475.32</v>
      </c>
      <c r="L47" s="76">
        <f>'Ленина 45'!D52</f>
        <v>6613.099999999999</v>
      </c>
      <c r="M47" s="76">
        <f>'Ленина 47-12'!D52</f>
        <v>36431.05</v>
      </c>
      <c r="N47" s="76">
        <f>'Корешкова 6'!D52</f>
        <v>58973.49</v>
      </c>
      <c r="O47" s="76">
        <f>'Корешкова 8-50'!D52</f>
        <v>73334.22</v>
      </c>
      <c r="P47" s="76">
        <f>'Первомайская 46а'!D52</f>
        <v>15102.33</v>
      </c>
      <c r="Q47" s="76">
        <f>'Первомайская 48'!D52</f>
        <v>27749.129999999997</v>
      </c>
      <c r="R47" s="76">
        <f>'Советская 12-1'!D52</f>
        <v>52012.46</v>
      </c>
      <c r="S47" s="76">
        <f>'Советская 14'!D52</f>
        <v>20645.059999999998</v>
      </c>
      <c r="T47" s="76">
        <f>'пр-зд Чернышевского 18а'!D52</f>
        <v>9004.17</v>
      </c>
      <c r="U47" s="76">
        <f t="shared" si="0"/>
        <v>646142.35</v>
      </c>
    </row>
    <row r="48" spans="1:21" ht="29.25" customHeight="1">
      <c r="A48" s="6" t="s">
        <v>97</v>
      </c>
      <c r="B48" s="15" t="s">
        <v>98</v>
      </c>
      <c r="C48" s="8" t="s">
        <v>16</v>
      </c>
      <c r="D48" s="17">
        <f>'Полярный пр-зд 5а'!D53</f>
        <v>235547.78000000003</v>
      </c>
      <c r="E48" s="76">
        <f>'Ленина 32-16'!D53</f>
        <v>509193.75</v>
      </c>
      <c r="F48" s="76">
        <f>'Ленина 34'!D53</f>
        <v>145353.17</v>
      </c>
      <c r="G48" s="76">
        <f>'Ленина 35-20'!D53</f>
        <v>514517.32</v>
      </c>
      <c r="H48" s="76">
        <f>'Ленина 35а'!D53</f>
        <v>187419.89</v>
      </c>
      <c r="I48" s="76">
        <f>'Ленина 36'!D53</f>
        <v>205407.25</v>
      </c>
      <c r="J48" s="76">
        <f>'Ленина 38-7'!D53</f>
        <v>377799.3</v>
      </c>
      <c r="K48" s="76">
        <f>'Ленина 39'!D53</f>
        <v>419901.24</v>
      </c>
      <c r="L48" s="76">
        <f>'Ленина 45'!D53</f>
        <v>174638.28</v>
      </c>
      <c r="M48" s="76">
        <f>'Ленина 47-12'!D53</f>
        <v>241271.16</v>
      </c>
      <c r="N48" s="76">
        <f>'Корешкова 6'!D53</f>
        <v>362470.08</v>
      </c>
      <c r="O48" s="76">
        <f>'Корешкова 8-50'!D53</f>
        <v>359273.94</v>
      </c>
      <c r="P48" s="76">
        <f>'Первомайская 46а'!D53</f>
        <v>274679.44</v>
      </c>
      <c r="Q48" s="76">
        <f>'Первомайская 48'!D53</f>
        <v>220934.33000000002</v>
      </c>
      <c r="R48" s="76">
        <f>'Советская 12-1'!D53</f>
        <v>363445.77</v>
      </c>
      <c r="S48" s="76">
        <f>'Советская 14'!D53</f>
        <v>246413.74</v>
      </c>
      <c r="T48" s="76">
        <f>'пр-зд Чернышевского 18а'!D53</f>
        <v>85021.42</v>
      </c>
      <c r="U48" s="76">
        <f t="shared" si="0"/>
        <v>4923287.859999999</v>
      </c>
    </row>
    <row r="49" spans="1:21" ht="29.25" customHeight="1">
      <c r="A49" s="6" t="s">
        <v>99</v>
      </c>
      <c r="B49" s="15" t="s">
        <v>100</v>
      </c>
      <c r="C49" s="8" t="s">
        <v>16</v>
      </c>
      <c r="D49" s="17">
        <f>'Полярный пр-зд 5а'!D54</f>
        <v>245601.15000000002</v>
      </c>
      <c r="E49" s="76">
        <f>'Ленина 32-16'!D54</f>
        <v>618647.28</v>
      </c>
      <c r="F49" s="76">
        <f>'Ленина 34'!D54</f>
        <v>176597.5</v>
      </c>
      <c r="G49" s="76">
        <f>'Ленина 35-20'!D54</f>
        <v>625115.18</v>
      </c>
      <c r="H49" s="76">
        <f>'Ленина 35а'!D54</f>
        <v>227706.65</v>
      </c>
      <c r="I49" s="76">
        <f>'Ленина 36'!D54</f>
        <v>249560.48</v>
      </c>
      <c r="J49" s="76">
        <f>'Ленина 38-7'!D54</f>
        <v>459008.99</v>
      </c>
      <c r="K49" s="76">
        <f>'Ленина 39'!D54</f>
        <v>510160.94</v>
      </c>
      <c r="L49" s="76">
        <f>'Ленина 45'!D54</f>
        <v>119300.5</v>
      </c>
      <c r="M49" s="76">
        <f>'Ленина 47-12'!D54</f>
        <v>293133.5</v>
      </c>
      <c r="N49" s="76">
        <f>'Корешкова 6'!D54</f>
        <v>440384.69</v>
      </c>
      <c r="O49" s="76">
        <f>'Корешкова 8-50'!D54</f>
        <v>436501.52</v>
      </c>
      <c r="P49" s="76">
        <f>'Первомайская 46а'!D54</f>
        <v>333723.04</v>
      </c>
      <c r="Q49" s="76">
        <f>'Первомайская 48'!D54</f>
        <v>193027.38</v>
      </c>
      <c r="R49" s="76">
        <f>'Советская 12-1'!D54</f>
        <v>441570.1</v>
      </c>
      <c r="S49" s="76">
        <f>'Советская 14'!D54</f>
        <v>168332.41</v>
      </c>
      <c r="T49" s="76">
        <f>'пр-зд Чернышевского 18а'!D54</f>
        <v>103297.16</v>
      </c>
      <c r="U49" s="76">
        <f t="shared" si="0"/>
        <v>5641668.470000001</v>
      </c>
    </row>
    <row r="50" spans="1:21" ht="29.25" customHeight="1">
      <c r="A50" s="6" t="s">
        <v>101</v>
      </c>
      <c r="B50" s="15" t="s">
        <v>102</v>
      </c>
      <c r="C50" s="8" t="s">
        <v>16</v>
      </c>
      <c r="D50" s="17">
        <f>'Полярный пр-зд 5а'!D55</f>
        <v>28730.479999999996</v>
      </c>
      <c r="E50" s="76">
        <f>'Ленина 32-16'!D55</f>
        <v>-27467.43</v>
      </c>
      <c r="F50" s="76">
        <f>'Ленина 34'!D55</f>
        <v>-7840.78</v>
      </c>
      <c r="G50" s="76">
        <f>'Ленина 35-20'!D55</f>
        <v>-27754.59</v>
      </c>
      <c r="H50" s="76">
        <f>'Ленина 35а'!D55</f>
        <v>-10109.99</v>
      </c>
      <c r="I50" s="76">
        <f>'Ленина 36'!D55</f>
        <v>-11080.28</v>
      </c>
      <c r="J50" s="76">
        <f>'Ленина 38-7'!D55</f>
        <v>-20379.62</v>
      </c>
      <c r="K50" s="76">
        <f>'Ленина 39'!D55</f>
        <v>-22650.72</v>
      </c>
      <c r="L50" s="76">
        <f>'Ленина 45'!D55</f>
        <v>85420.2</v>
      </c>
      <c r="M50" s="76">
        <f>'Ленина 47-12'!D55</f>
        <v>-13014.88</v>
      </c>
      <c r="N50" s="76">
        <f>'Корешкова 6'!D55</f>
        <v>-19552.71</v>
      </c>
      <c r="O50" s="76">
        <f>'Корешкова 8-50'!D55</f>
        <v>-19380.3</v>
      </c>
      <c r="P50" s="76">
        <f>'Первомайская 46а'!D55</f>
        <v>-14817.03</v>
      </c>
      <c r="Q50" s="76">
        <f>'Первомайская 48'!D55</f>
        <v>65074.01999999999</v>
      </c>
      <c r="R50" s="76">
        <f>'Советская 12-1'!D55</f>
        <v>-19605.35</v>
      </c>
      <c r="S50" s="76">
        <f>'Советская 14'!D55</f>
        <v>120527.47</v>
      </c>
      <c r="T50" s="76">
        <f>'пр-зд Чернышевского 18а'!D55</f>
        <v>-4586.31</v>
      </c>
      <c r="U50" s="76">
        <f t="shared" si="0"/>
        <v>81512.18</v>
      </c>
    </row>
    <row r="51" spans="1:21" ht="29.25" customHeight="1">
      <c r="A51" s="6" t="s">
        <v>103</v>
      </c>
      <c r="B51" s="16" t="s">
        <v>104</v>
      </c>
      <c r="C51" s="8" t="s">
        <v>16</v>
      </c>
      <c r="D51" s="17">
        <f>'Полярный пр-зд 5а'!D56</f>
        <v>0</v>
      </c>
      <c r="E51" s="76">
        <f>'Ленина 32-16'!D56</f>
        <v>0</v>
      </c>
      <c r="F51" s="76">
        <f>'Ленина 34'!D56</f>
        <v>0</v>
      </c>
      <c r="G51" s="76">
        <f>'Ленина 35-20'!D56</f>
        <v>0</v>
      </c>
      <c r="H51" s="76">
        <f>'Ленина 35а'!D56</f>
        <v>0</v>
      </c>
      <c r="I51" s="76">
        <f>'Ленина 36'!D56</f>
        <v>0</v>
      </c>
      <c r="J51" s="76">
        <f>'Ленина 38-7'!D56</f>
        <v>0</v>
      </c>
      <c r="K51" s="76">
        <f>'Ленина 39'!D56</f>
        <v>0</v>
      </c>
      <c r="L51" s="76">
        <f>'Ленина 45'!D56</f>
        <v>0</v>
      </c>
      <c r="M51" s="76">
        <f>'Ленина 47-12'!D56</f>
        <v>0</v>
      </c>
      <c r="N51" s="76">
        <f>'Корешкова 6'!D56</f>
        <v>0</v>
      </c>
      <c r="O51" s="76">
        <f>'Корешкова 8-50'!D56</f>
        <v>0</v>
      </c>
      <c r="P51" s="76">
        <f>'Первомайская 46а'!D56</f>
        <v>0</v>
      </c>
      <c r="Q51" s="76">
        <f>'Первомайская 48'!D56</f>
        <v>0</v>
      </c>
      <c r="R51" s="76">
        <f>'Советская 12-1'!D56</f>
        <v>0</v>
      </c>
      <c r="S51" s="76">
        <f>'Советская 14'!D56</f>
        <v>0</v>
      </c>
      <c r="T51" s="76">
        <f>'пр-зд Чернышевского 18а'!D56</f>
        <v>0</v>
      </c>
      <c r="U51" s="76">
        <f t="shared" si="0"/>
        <v>0</v>
      </c>
    </row>
    <row r="52" spans="1:21" s="80" customFormat="1" ht="29.25" customHeight="1">
      <c r="A52" s="6" t="s">
        <v>82</v>
      </c>
      <c r="B52" s="16" t="s">
        <v>83</v>
      </c>
      <c r="C52" s="8" t="s">
        <v>7</v>
      </c>
      <c r="D52" s="71" t="s">
        <v>105</v>
      </c>
      <c r="E52" s="79" t="str">
        <f>'Ленина 32-16'!D57</f>
        <v>Горячее водоснабжение</v>
      </c>
      <c r="F52" s="79" t="str">
        <f>'Ленина 34'!D57</f>
        <v>Горячее водоснабжение</v>
      </c>
      <c r="G52" s="79" t="str">
        <f>'Ленина 35-20'!D57</f>
        <v>Горячее водоснабжение</v>
      </c>
      <c r="H52" s="79" t="str">
        <f>'Ленина 35а'!D57</f>
        <v>Горячее водоснабжение</v>
      </c>
      <c r="I52" s="79" t="str">
        <f>'Ленина 36'!D57</f>
        <v>Горячее водоснабжение</v>
      </c>
      <c r="J52" s="79" t="str">
        <f>'Ленина 38-7'!D57</f>
        <v>Горячее водоснабжение</v>
      </c>
      <c r="K52" s="79" t="str">
        <f>'Ленина 39'!D57</f>
        <v>Горячее водоснабжение</v>
      </c>
      <c r="L52" s="79" t="str">
        <f>'Ленина 45'!D57</f>
        <v>Горячее водоснабжение</v>
      </c>
      <c r="M52" s="79" t="str">
        <f>'Ленина 47-12'!D57</f>
        <v>Горячее водоснабжение</v>
      </c>
      <c r="N52" s="79" t="str">
        <f>'Корешкова 6'!D57</f>
        <v>Горячее водоснабжение</v>
      </c>
      <c r="O52" s="79" t="str">
        <f>'Корешкова 8-50'!D57</f>
        <v>Горячее водоснабжение</v>
      </c>
      <c r="P52" s="79" t="str">
        <f>'Первомайская 46а'!D57</f>
        <v>Горячее водоснабжение</v>
      </c>
      <c r="Q52" s="79" t="str">
        <f>'Первомайская 48'!D57</f>
        <v>Горячее водоснабжение</v>
      </c>
      <c r="R52" s="79" t="str">
        <f>'Советская 12-1'!D57</f>
        <v>Горячее водоснабжение</v>
      </c>
      <c r="S52" s="79" t="str">
        <f>'Советская 14'!D57</f>
        <v>Горячее водоснабжение</v>
      </c>
      <c r="T52" s="79" t="str">
        <f>'пр-зд Чернышевского 18а'!D57</f>
        <v>Горячее водоснабжение</v>
      </c>
      <c r="U52" s="79">
        <f t="shared" si="0"/>
        <v>0</v>
      </c>
    </row>
    <row r="53" spans="1:21" ht="16.5" customHeight="1">
      <c r="A53" s="6" t="s">
        <v>106</v>
      </c>
      <c r="B53" s="16" t="s">
        <v>86</v>
      </c>
      <c r="C53" s="8" t="s">
        <v>7</v>
      </c>
      <c r="D53" s="17" t="s">
        <v>87</v>
      </c>
      <c r="E53" s="76" t="str">
        <f>'Ленина 32-16'!D58</f>
        <v>куб.м</v>
      </c>
      <c r="F53" s="76" t="str">
        <f>'Ленина 34'!D58</f>
        <v>куб.м</v>
      </c>
      <c r="G53" s="76" t="str">
        <f>'Ленина 35-20'!D58</f>
        <v>куб.м</v>
      </c>
      <c r="H53" s="76" t="str">
        <f>'Ленина 35а'!D58</f>
        <v>куб.м</v>
      </c>
      <c r="I53" s="76" t="str">
        <f>'Ленина 36'!D58</f>
        <v>куб.м</v>
      </c>
      <c r="J53" s="76" t="str">
        <f>'Ленина 38-7'!D58</f>
        <v>куб.м</v>
      </c>
      <c r="K53" s="76" t="str">
        <f>'Ленина 39'!D58</f>
        <v>куб.м</v>
      </c>
      <c r="L53" s="76" t="str">
        <f>'Ленина 45'!D58</f>
        <v>куб.м</v>
      </c>
      <c r="M53" s="76" t="str">
        <f>'Ленина 47-12'!D58</f>
        <v>куб.м</v>
      </c>
      <c r="N53" s="76" t="str">
        <f>'Корешкова 6'!D58</f>
        <v>куб.м</v>
      </c>
      <c r="O53" s="76" t="str">
        <f>'Корешкова 8-50'!D58</f>
        <v>куб.м</v>
      </c>
      <c r="P53" s="76" t="str">
        <f>'Первомайская 46а'!D58</f>
        <v>куб.м</v>
      </c>
      <c r="Q53" s="76" t="str">
        <f>'Первомайская 48'!D58</f>
        <v>куб.м</v>
      </c>
      <c r="R53" s="76" t="str">
        <f>'Советская 12-1'!D58</f>
        <v>куб.м</v>
      </c>
      <c r="S53" s="76" t="str">
        <f>'Советская 14'!D58</f>
        <v>куб.м</v>
      </c>
      <c r="T53" s="76" t="str">
        <f>'пр-зд Чернышевского 18а'!D58</f>
        <v>куб.м</v>
      </c>
      <c r="U53" s="76">
        <f t="shared" si="0"/>
        <v>0</v>
      </c>
    </row>
    <row r="54" spans="1:21" ht="16.5" customHeight="1">
      <c r="A54" s="6" t="s">
        <v>107</v>
      </c>
      <c r="B54" s="16" t="s">
        <v>89</v>
      </c>
      <c r="C54" s="8" t="s">
        <v>90</v>
      </c>
      <c r="D54" s="17">
        <f>'Полярный пр-зд 5а'!D59</f>
        <v>0</v>
      </c>
      <c r="E54" s="76">
        <f>'Ленина 32-16'!D59</f>
        <v>0</v>
      </c>
      <c r="F54" s="76">
        <f>'Ленина 34'!D59</f>
        <v>0</v>
      </c>
      <c r="G54" s="76">
        <f>'Ленина 35-20'!D59</f>
        <v>0</v>
      </c>
      <c r="H54" s="76">
        <f>'Ленина 35а'!D59</f>
        <v>0</v>
      </c>
      <c r="I54" s="76">
        <f>'Ленина 36'!D59</f>
        <v>0</v>
      </c>
      <c r="J54" s="76">
        <f>'Ленина 38-7'!D59</f>
        <v>0</v>
      </c>
      <c r="K54" s="76">
        <f>'Ленина 39'!D59</f>
        <v>0</v>
      </c>
      <c r="L54" s="76">
        <f>'Ленина 45'!D59</f>
        <v>0</v>
      </c>
      <c r="M54" s="76">
        <f>'Ленина 47-12'!D59</f>
        <v>0</v>
      </c>
      <c r="N54" s="76">
        <f>'Корешкова 6'!D59</f>
        <v>0</v>
      </c>
      <c r="O54" s="76">
        <f>'Корешкова 8-50'!D59</f>
        <v>0</v>
      </c>
      <c r="P54" s="76">
        <f>'Первомайская 46а'!D59</f>
        <v>6998.460564017493</v>
      </c>
      <c r="Q54" s="76">
        <f>'Первомайская 48'!D59</f>
        <v>0</v>
      </c>
      <c r="R54" s="76">
        <f>'Советская 12-1'!D59</f>
        <v>0</v>
      </c>
      <c r="S54" s="76">
        <f>'Советская 14'!D59</f>
        <v>0</v>
      </c>
      <c r="T54" s="76">
        <f>'пр-зд Чернышевского 18а'!D59</f>
        <v>0</v>
      </c>
      <c r="U54" s="76">
        <f t="shared" si="0"/>
        <v>6998.460564017493</v>
      </c>
    </row>
    <row r="55" spans="1:21" ht="16.5" customHeight="1">
      <c r="A55" s="6" t="s">
        <v>108</v>
      </c>
      <c r="B55" s="16" t="s">
        <v>92</v>
      </c>
      <c r="C55" s="8" t="s">
        <v>16</v>
      </c>
      <c r="D55" s="17">
        <f>'Полярный пр-зд 5а'!D60</f>
        <v>0</v>
      </c>
      <c r="E55" s="76">
        <f>'Ленина 32-16'!D60</f>
        <v>0</v>
      </c>
      <c r="F55" s="76">
        <f>'Ленина 34'!D60</f>
        <v>0</v>
      </c>
      <c r="G55" s="76">
        <f>'Ленина 35-20'!D60</f>
        <v>0</v>
      </c>
      <c r="H55" s="76">
        <f>'Ленина 35а'!D60</f>
        <v>0</v>
      </c>
      <c r="I55" s="76">
        <f>'Ленина 36'!D60</f>
        <v>0</v>
      </c>
      <c r="J55" s="76">
        <f>'Ленина 38-7'!D60</f>
        <v>0</v>
      </c>
      <c r="K55" s="76">
        <f>'Ленина 39'!D60</f>
        <v>0</v>
      </c>
      <c r="L55" s="76">
        <f>'Ленина 45'!D60</f>
        <v>0</v>
      </c>
      <c r="M55" s="76">
        <f>'Ленина 47-12'!D60</f>
        <v>0</v>
      </c>
      <c r="N55" s="76">
        <f>'Корешкова 6'!D60</f>
        <v>0</v>
      </c>
      <c r="O55" s="76">
        <f>'Корешкова 8-50'!D60</f>
        <v>0</v>
      </c>
      <c r="P55" s="76">
        <f>'Первомайская 46а'!D60</f>
        <v>928135.84</v>
      </c>
      <c r="Q55" s="76">
        <f>'Первомайская 48'!D60</f>
        <v>0</v>
      </c>
      <c r="R55" s="76">
        <f>'Советская 12-1'!D60</f>
        <v>0</v>
      </c>
      <c r="S55" s="76">
        <f>'Советская 14'!D60</f>
        <v>0</v>
      </c>
      <c r="T55" s="76">
        <f>'пр-зд Чернышевского 18а'!D60</f>
        <v>0</v>
      </c>
      <c r="U55" s="76">
        <f t="shared" si="0"/>
        <v>928135.84</v>
      </c>
    </row>
    <row r="56" spans="1:21" ht="16.5" customHeight="1">
      <c r="A56" s="6" t="s">
        <v>109</v>
      </c>
      <c r="B56" s="15" t="s">
        <v>94</v>
      </c>
      <c r="C56" s="8" t="s">
        <v>16</v>
      </c>
      <c r="D56" s="17">
        <f>'Полярный пр-зд 5а'!D61</f>
        <v>0</v>
      </c>
      <c r="E56" s="76">
        <f>'Ленина 32-16'!D61</f>
        <v>0</v>
      </c>
      <c r="F56" s="76">
        <f>'Ленина 34'!D61</f>
        <v>0</v>
      </c>
      <c r="G56" s="76">
        <f>'Ленина 35-20'!D61</f>
        <v>0</v>
      </c>
      <c r="H56" s="76">
        <f>'Ленина 35а'!D61</f>
        <v>0</v>
      </c>
      <c r="I56" s="76">
        <f>'Ленина 36'!D61</f>
        <v>0</v>
      </c>
      <c r="J56" s="76">
        <f>'Ленина 38-7'!D61</f>
        <v>0</v>
      </c>
      <c r="K56" s="76">
        <f>'Ленина 39'!D61</f>
        <v>0</v>
      </c>
      <c r="L56" s="76">
        <f>'Ленина 45'!D61</f>
        <v>0</v>
      </c>
      <c r="M56" s="76">
        <f>'Ленина 47-12'!D61</f>
        <v>0</v>
      </c>
      <c r="N56" s="76">
        <f>'Корешкова 6'!D61</f>
        <v>0</v>
      </c>
      <c r="O56" s="76">
        <f>'Корешкова 8-50'!D61</f>
        <v>0</v>
      </c>
      <c r="P56" s="76">
        <f>'Первомайская 46а'!D61</f>
        <v>910575.79</v>
      </c>
      <c r="Q56" s="76">
        <f>'Первомайская 48'!D61</f>
        <v>0</v>
      </c>
      <c r="R56" s="76">
        <f>'Советская 12-1'!D61</f>
        <v>0</v>
      </c>
      <c r="S56" s="76">
        <f>'Советская 14'!D61</f>
        <v>0</v>
      </c>
      <c r="T56" s="76">
        <f>'пр-зд Чернышевского 18а'!D61</f>
        <v>0</v>
      </c>
      <c r="U56" s="76">
        <f t="shared" si="0"/>
        <v>910575.79</v>
      </c>
    </row>
    <row r="57" spans="1:21" ht="16.5" customHeight="1">
      <c r="A57" s="6" t="s">
        <v>110</v>
      </c>
      <c r="B57" s="15" t="s">
        <v>96</v>
      </c>
      <c r="C57" s="8" t="s">
        <v>16</v>
      </c>
      <c r="D57" s="17">
        <f>'Полярный пр-зд 5а'!D62</f>
        <v>0</v>
      </c>
      <c r="E57" s="76">
        <f>'Ленина 32-16'!D62</f>
        <v>0</v>
      </c>
      <c r="F57" s="76">
        <f>'Ленина 34'!D62</f>
        <v>0</v>
      </c>
      <c r="G57" s="76">
        <f>'Ленина 35-20'!D62</f>
        <v>0</v>
      </c>
      <c r="H57" s="76">
        <f>'Ленина 35а'!D62</f>
        <v>0</v>
      </c>
      <c r="I57" s="76">
        <f>'Ленина 36'!D62</f>
        <v>0</v>
      </c>
      <c r="J57" s="76">
        <f>'Ленина 38-7'!D62</f>
        <v>0</v>
      </c>
      <c r="K57" s="76">
        <f>'Ленина 39'!D62</f>
        <v>0</v>
      </c>
      <c r="L57" s="76">
        <f>'Ленина 45'!D62</f>
        <v>0</v>
      </c>
      <c r="M57" s="76">
        <f>'Ленина 47-12'!D62</f>
        <v>0</v>
      </c>
      <c r="N57" s="76">
        <f>'Корешкова 6'!D62</f>
        <v>0</v>
      </c>
      <c r="O57" s="76">
        <f>'Корешкова 8-50'!D62</f>
        <v>0</v>
      </c>
      <c r="P57" s="76">
        <f>'Первомайская 46а'!D62</f>
        <v>51030.44</v>
      </c>
      <c r="Q57" s="76">
        <f>'Первомайская 48'!D62</f>
        <v>0</v>
      </c>
      <c r="R57" s="76">
        <f>'Советская 12-1'!D62</f>
        <v>0</v>
      </c>
      <c r="S57" s="76">
        <f>'Советская 14'!D62</f>
        <v>0</v>
      </c>
      <c r="T57" s="76">
        <f>'пр-зд Чернышевского 18а'!D62</f>
        <v>0</v>
      </c>
      <c r="U57" s="76">
        <f t="shared" si="0"/>
        <v>51030.44</v>
      </c>
    </row>
    <row r="58" spans="1:21" ht="29.25" customHeight="1">
      <c r="A58" s="6" t="s">
        <v>111</v>
      </c>
      <c r="B58" s="15" t="s">
        <v>98</v>
      </c>
      <c r="C58" s="8" t="s">
        <v>16</v>
      </c>
      <c r="D58" s="17">
        <f>'Полярный пр-зд 5а'!D63</f>
        <v>0</v>
      </c>
      <c r="E58" s="76">
        <f>'Ленина 32-16'!D63</f>
        <v>0</v>
      </c>
      <c r="F58" s="76">
        <f>'Ленина 34'!D63</f>
        <v>0</v>
      </c>
      <c r="G58" s="76">
        <f>'Ленина 35-20'!D63</f>
        <v>0</v>
      </c>
      <c r="H58" s="76">
        <f>'Ленина 35а'!D63</f>
        <v>0</v>
      </c>
      <c r="I58" s="76">
        <f>'Ленина 36'!D63</f>
        <v>0</v>
      </c>
      <c r="J58" s="76">
        <f>'Ленина 38-7'!D63</f>
        <v>0</v>
      </c>
      <c r="K58" s="76">
        <f>'Ленина 39'!D63</f>
        <v>0</v>
      </c>
      <c r="L58" s="76">
        <f>'Ленина 45'!D63</f>
        <v>0</v>
      </c>
      <c r="M58" s="76">
        <f>'Ленина 47-12'!D63</f>
        <v>0</v>
      </c>
      <c r="N58" s="76">
        <f>'Корешкова 6'!D63</f>
        <v>0</v>
      </c>
      <c r="O58" s="76">
        <f>'Корешкова 8-50'!D63</f>
        <v>0</v>
      </c>
      <c r="P58" s="76">
        <f>'Первомайская 46а'!D63</f>
        <v>928135.84</v>
      </c>
      <c r="Q58" s="76">
        <f>'Первомайская 48'!D63</f>
        <v>0</v>
      </c>
      <c r="R58" s="76">
        <f>'Советская 12-1'!D63</f>
        <v>0</v>
      </c>
      <c r="S58" s="76">
        <f>'Советская 14'!D63</f>
        <v>0</v>
      </c>
      <c r="T58" s="76">
        <f>'пр-зд Чернышевского 18а'!D63</f>
        <v>0</v>
      </c>
      <c r="U58" s="76">
        <f t="shared" si="0"/>
        <v>928135.84</v>
      </c>
    </row>
    <row r="59" spans="1:21" ht="29.25" customHeight="1">
      <c r="A59" s="6" t="s">
        <v>112</v>
      </c>
      <c r="B59" s="15" t="s">
        <v>100</v>
      </c>
      <c r="C59" s="8" t="s">
        <v>16</v>
      </c>
      <c r="D59" s="17">
        <f>'Полярный пр-зд 5а'!D64</f>
        <v>0</v>
      </c>
      <c r="E59" s="76">
        <f>'Ленина 32-16'!D64</f>
        <v>0</v>
      </c>
      <c r="F59" s="76">
        <f>'Ленина 34'!D64</f>
        <v>0</v>
      </c>
      <c r="G59" s="76">
        <f>'Ленина 35-20'!D64</f>
        <v>0</v>
      </c>
      <c r="H59" s="76">
        <f>'Ленина 35а'!D64</f>
        <v>0</v>
      </c>
      <c r="I59" s="76">
        <f>'Ленина 36'!D64</f>
        <v>0</v>
      </c>
      <c r="J59" s="76">
        <f>'Ленина 38-7'!D64</f>
        <v>0</v>
      </c>
      <c r="K59" s="76">
        <f>'Ленина 39'!D64</f>
        <v>0</v>
      </c>
      <c r="L59" s="76">
        <f>'Ленина 45'!D64</f>
        <v>0</v>
      </c>
      <c r="M59" s="76">
        <f>'Ленина 47-12'!D64</f>
        <v>0</v>
      </c>
      <c r="N59" s="76">
        <f>'Корешкова 6'!D64</f>
        <v>0</v>
      </c>
      <c r="O59" s="76">
        <f>'Корешкова 8-50'!D64</f>
        <v>0</v>
      </c>
      <c r="P59" s="76">
        <f>'Первомайская 46а'!D64</f>
        <v>1752666.91</v>
      </c>
      <c r="Q59" s="76">
        <f>'Первомайская 48'!D64</f>
        <v>0</v>
      </c>
      <c r="R59" s="76">
        <f>'Советская 12-1'!D64</f>
        <v>0</v>
      </c>
      <c r="S59" s="76">
        <f>'Советская 14'!D64</f>
        <v>0</v>
      </c>
      <c r="T59" s="76">
        <f>'пр-зд Чернышевского 18а'!D64</f>
        <v>0</v>
      </c>
      <c r="U59" s="76">
        <f t="shared" si="0"/>
        <v>1752666.91</v>
      </c>
    </row>
    <row r="60" spans="1:21" ht="29.25" customHeight="1">
      <c r="A60" s="6" t="s">
        <v>113</v>
      </c>
      <c r="B60" s="15" t="s">
        <v>102</v>
      </c>
      <c r="C60" s="8" t="s">
        <v>16</v>
      </c>
      <c r="D60" s="17">
        <f>'Полярный пр-зд 5а'!D65</f>
        <v>0</v>
      </c>
      <c r="E60" s="76">
        <f>'Ленина 32-16'!D65</f>
        <v>0</v>
      </c>
      <c r="F60" s="76">
        <f>'Ленина 34'!D65</f>
        <v>0</v>
      </c>
      <c r="G60" s="76">
        <f>'Ленина 35-20'!D65</f>
        <v>0</v>
      </c>
      <c r="H60" s="76">
        <f>'Ленина 35а'!D65</f>
        <v>0</v>
      </c>
      <c r="I60" s="76">
        <f>'Ленина 36'!D65</f>
        <v>0</v>
      </c>
      <c r="J60" s="76">
        <f>'Ленина 38-7'!D65</f>
        <v>0</v>
      </c>
      <c r="K60" s="76">
        <f>'Ленина 39'!D65</f>
        <v>0</v>
      </c>
      <c r="L60" s="76">
        <f>'Ленина 45'!D65</f>
        <v>0</v>
      </c>
      <c r="M60" s="76">
        <f>'Ленина 47-12'!D65</f>
        <v>0</v>
      </c>
      <c r="N60" s="76">
        <f>'Корешкова 6'!D65</f>
        <v>0</v>
      </c>
      <c r="O60" s="76">
        <f>'Корешкова 8-50'!D65</f>
        <v>0</v>
      </c>
      <c r="P60" s="76">
        <f>'Первомайская 46а'!D65</f>
        <v>81683.72</v>
      </c>
      <c r="Q60" s="76">
        <f>'Первомайская 48'!D65</f>
        <v>0</v>
      </c>
      <c r="R60" s="76">
        <f>'Советская 12-1'!D65</f>
        <v>0</v>
      </c>
      <c r="S60" s="76">
        <f>'Советская 14'!D65</f>
        <v>0</v>
      </c>
      <c r="T60" s="76">
        <f>'пр-зд Чернышевского 18а'!D65</f>
        <v>0</v>
      </c>
      <c r="U60" s="76">
        <f t="shared" si="0"/>
        <v>81683.72</v>
      </c>
    </row>
    <row r="61" spans="1:21" ht="29.25" customHeight="1">
      <c r="A61" s="6" t="s">
        <v>114</v>
      </c>
      <c r="B61" s="16" t="s">
        <v>104</v>
      </c>
      <c r="C61" s="8" t="s">
        <v>16</v>
      </c>
      <c r="D61" s="17">
        <f>'Полярный пр-зд 5а'!D66</f>
        <v>0</v>
      </c>
      <c r="E61" s="76">
        <f>'Ленина 32-16'!D66</f>
        <v>0</v>
      </c>
      <c r="F61" s="76">
        <f>'Ленина 34'!D66</f>
        <v>0</v>
      </c>
      <c r="G61" s="76">
        <f>'Ленина 35-20'!D66</f>
        <v>0</v>
      </c>
      <c r="H61" s="76">
        <f>'Ленина 35а'!D66</f>
        <v>0</v>
      </c>
      <c r="I61" s="76">
        <f>'Ленина 36'!D66</f>
        <v>0</v>
      </c>
      <c r="J61" s="76">
        <f>'Ленина 38-7'!D66</f>
        <v>0</v>
      </c>
      <c r="K61" s="76">
        <f>'Ленина 39'!D66</f>
        <v>0</v>
      </c>
      <c r="L61" s="76">
        <f>'Ленина 45'!D66</f>
        <v>0</v>
      </c>
      <c r="M61" s="76">
        <f>'Ленина 47-12'!D66</f>
        <v>0</v>
      </c>
      <c r="N61" s="76">
        <f>'Корешкова 6'!D66</f>
        <v>0</v>
      </c>
      <c r="O61" s="76">
        <f>'Корешкова 8-50'!D66</f>
        <v>0</v>
      </c>
      <c r="P61" s="76">
        <f>'Первомайская 46а'!D66</f>
        <v>0</v>
      </c>
      <c r="Q61" s="76">
        <f>'Первомайская 48'!D66</f>
        <v>0</v>
      </c>
      <c r="R61" s="76">
        <f>'Советская 12-1'!D66</f>
        <v>0</v>
      </c>
      <c r="S61" s="76">
        <f>'Советская 14'!D66</f>
        <v>0</v>
      </c>
      <c r="T61" s="76">
        <f>'пр-зд Чернышевского 18а'!D66</f>
        <v>0</v>
      </c>
      <c r="U61" s="76">
        <f t="shared" si="0"/>
        <v>0</v>
      </c>
    </row>
    <row r="62" spans="1:21" ht="15" customHeight="1">
      <c r="A62" s="6" t="s">
        <v>115</v>
      </c>
      <c r="B62" s="16" t="s">
        <v>83</v>
      </c>
      <c r="C62" s="8" t="s">
        <v>7</v>
      </c>
      <c r="D62" s="71" t="s">
        <v>116</v>
      </c>
      <c r="E62" s="76" t="str">
        <f>'Ленина 32-16'!D67</f>
        <v>Водоотведение</v>
      </c>
      <c r="F62" s="76" t="str">
        <f>'Ленина 34'!D67</f>
        <v>Водоотведение</v>
      </c>
      <c r="G62" s="76" t="str">
        <f>'Ленина 35-20'!D67</f>
        <v>Водоотведение</v>
      </c>
      <c r="H62" s="76" t="str">
        <f>'Ленина 35а'!D67</f>
        <v>Водоотведение</v>
      </c>
      <c r="I62" s="76" t="str">
        <f>'Ленина 36'!D67</f>
        <v>Водоотведение</v>
      </c>
      <c r="J62" s="76" t="str">
        <f>'Ленина 38-7'!D67</f>
        <v>Водоотведение</v>
      </c>
      <c r="K62" s="76" t="str">
        <f>'Ленина 39'!D67</f>
        <v>Водоотведение</v>
      </c>
      <c r="L62" s="76" t="str">
        <f>'Ленина 45'!D67</f>
        <v>Водоотведение</v>
      </c>
      <c r="M62" s="76" t="str">
        <f>'Ленина 47-12'!D67</f>
        <v>Водоотведение</v>
      </c>
      <c r="N62" s="76" t="str">
        <f>'Корешкова 6'!D67</f>
        <v>Водоотведение</v>
      </c>
      <c r="O62" s="76" t="str">
        <f>'Корешкова 8-50'!D67</f>
        <v>Водоотведение</v>
      </c>
      <c r="P62" s="76" t="str">
        <f>'Первомайская 46а'!D67</f>
        <v>Водоотведение</v>
      </c>
      <c r="Q62" s="76" t="str">
        <f>'Первомайская 48'!D67</f>
        <v>Водоотведение</v>
      </c>
      <c r="R62" s="76" t="str">
        <f>'Советская 12-1'!D67</f>
        <v>Водоотведение</v>
      </c>
      <c r="S62" s="76" t="str">
        <f>'Советская 14'!D67</f>
        <v>Водоотведение</v>
      </c>
      <c r="T62" s="76" t="str">
        <f>'пр-зд Чернышевского 18а'!D67</f>
        <v>Водоотведение</v>
      </c>
      <c r="U62" s="76">
        <f t="shared" si="0"/>
        <v>0</v>
      </c>
    </row>
    <row r="63" spans="1:21" ht="15" customHeight="1">
      <c r="A63" s="6" t="s">
        <v>117</v>
      </c>
      <c r="B63" s="16" t="s">
        <v>86</v>
      </c>
      <c r="C63" s="8" t="s">
        <v>7</v>
      </c>
      <c r="D63" s="17" t="s">
        <v>87</v>
      </c>
      <c r="E63" s="76" t="str">
        <f>'Ленина 32-16'!D68</f>
        <v>куб.м</v>
      </c>
      <c r="F63" s="76" t="str">
        <f>'Ленина 34'!D68</f>
        <v>куб.м</v>
      </c>
      <c r="G63" s="76" t="str">
        <f>'Ленина 35-20'!D68</f>
        <v>куб.м</v>
      </c>
      <c r="H63" s="76" t="str">
        <f>'Ленина 35а'!D68</f>
        <v>куб.м</v>
      </c>
      <c r="I63" s="76" t="str">
        <f>'Ленина 36'!D68</f>
        <v>куб.м</v>
      </c>
      <c r="J63" s="76" t="str">
        <f>'Ленина 38-7'!D68</f>
        <v>куб.м</v>
      </c>
      <c r="K63" s="76" t="str">
        <f>'Ленина 39'!D68</f>
        <v>куб.м</v>
      </c>
      <c r="L63" s="76" t="str">
        <f>'Ленина 45'!D68</f>
        <v>куб.м</v>
      </c>
      <c r="M63" s="76" t="str">
        <f>'Ленина 47-12'!D68</f>
        <v>куб.м</v>
      </c>
      <c r="N63" s="76" t="str">
        <f>'Корешкова 6'!D68</f>
        <v>куб.м</v>
      </c>
      <c r="O63" s="76" t="str">
        <f>'Корешкова 8-50'!D68</f>
        <v>куб.м</v>
      </c>
      <c r="P63" s="76" t="str">
        <f>'Первомайская 46а'!D68</f>
        <v>куб.м</v>
      </c>
      <c r="Q63" s="76" t="str">
        <f>'Первомайская 48'!D68</f>
        <v>куб.м</v>
      </c>
      <c r="R63" s="76" t="str">
        <f>'Советская 12-1'!D68</f>
        <v>куб.м</v>
      </c>
      <c r="S63" s="76" t="str">
        <f>'Советская 14'!D68</f>
        <v>куб.м</v>
      </c>
      <c r="T63" s="76" t="str">
        <f>'пр-зд Чернышевского 18а'!D68</f>
        <v>куб.м</v>
      </c>
      <c r="U63" s="76">
        <f t="shared" si="0"/>
        <v>0</v>
      </c>
    </row>
    <row r="64" spans="1:21" ht="15" customHeight="1">
      <c r="A64" s="6" t="s">
        <v>118</v>
      </c>
      <c r="B64" s="16" t="s">
        <v>89</v>
      </c>
      <c r="C64" s="8" t="s">
        <v>90</v>
      </c>
      <c r="D64" s="23">
        <f>'Полярный пр-зд 5а'!D69</f>
        <v>8786.211655874191</v>
      </c>
      <c r="E64" s="76">
        <f>'Ленина 32-16'!D69</f>
        <v>18841.58186864015</v>
      </c>
      <c r="F64" s="76">
        <f>'Ленина 34'!D69</f>
        <v>5178.239045244033</v>
      </c>
      <c r="G64" s="76">
        <f>'Ленина 35-20'!D69</f>
        <v>19038.56873265495</v>
      </c>
      <c r="H64" s="76">
        <f>'Ленина 35а'!D69</f>
        <v>6676.875311720699</v>
      </c>
      <c r="I64" s="76">
        <f>'Ленина 36'!D69</f>
        <v>7317.679016743855</v>
      </c>
      <c r="J64" s="76">
        <f>'Ленина 38-7'!D69</f>
        <v>13979.622571692877</v>
      </c>
      <c r="K64" s="76">
        <f>'Ленина 39'!D69</f>
        <v>15537.5111933395</v>
      </c>
      <c r="L64" s="76">
        <f>'Ленина 45'!D69</f>
        <v>5689.045600285002</v>
      </c>
      <c r="M64" s="76">
        <f>'Ленина 47-12'!D69</f>
        <v>8595.338795867474</v>
      </c>
      <c r="N64" s="76">
        <f>'Корешкова 6'!D69</f>
        <v>13412.398889916745</v>
      </c>
      <c r="O64" s="76">
        <f>'Корешкова 8-50'!D69</f>
        <v>13294.132839962998</v>
      </c>
      <c r="P64" s="76">
        <f>'Первомайская 46а'!D69</f>
        <v>17162.362136635442</v>
      </c>
      <c r="Q64" s="76">
        <f>'Первомайская 48'!D69</f>
        <v>8362.402960222018</v>
      </c>
      <c r="R64" s="76">
        <f>'Советская 12-1'!D69</f>
        <v>13448.502127659576</v>
      </c>
      <c r="S64" s="76">
        <f>'Советская 14'!D69</f>
        <v>7637.122877122876</v>
      </c>
      <c r="T64" s="76">
        <f>'пр-зд Чернышевского 18а'!D69</f>
        <v>3028.9070181688635</v>
      </c>
      <c r="U64" s="76">
        <f t="shared" si="0"/>
        <v>185986.5026417512</v>
      </c>
    </row>
    <row r="65" spans="1:21" ht="15" customHeight="1">
      <c r="A65" s="6" t="s">
        <v>119</v>
      </c>
      <c r="B65" s="16" t="s">
        <v>92</v>
      </c>
      <c r="C65" s="8" t="s">
        <v>16</v>
      </c>
      <c r="D65" s="23">
        <f>'Полярный пр-зд 5а'!D70</f>
        <v>131828.17</v>
      </c>
      <c r="E65" s="76">
        <f>'Ленина 32-16'!D70</f>
        <v>276758.18</v>
      </c>
      <c r="F65" s="76">
        <f>'Ленина 34'!D70</f>
        <v>79745.88</v>
      </c>
      <c r="G65" s="76">
        <f>'Ленина 35-20'!D70</f>
        <v>279754.9</v>
      </c>
      <c r="H65" s="76">
        <f>'Ленина 35а'!D70</f>
        <v>102825.21</v>
      </c>
      <c r="I65" s="76">
        <f>'Ленина 36'!D70</f>
        <v>112693.67</v>
      </c>
      <c r="J65" s="76">
        <f>'Ленина 38-7'!D70</f>
        <v>205333.69</v>
      </c>
      <c r="K65" s="76">
        <f>'Ленина 39'!D70</f>
        <v>228233.09</v>
      </c>
      <c r="L65" s="76">
        <f>'Ленина 45'!D70</f>
        <v>86999.51</v>
      </c>
      <c r="M65" s="76">
        <f>'Ленина 47-12'!D70</f>
        <v>132369.84</v>
      </c>
      <c r="N65" s="76">
        <f>'Корешкова 6'!D70</f>
        <v>196990.09</v>
      </c>
      <c r="O65" s="76">
        <f>'Корешкова 8-50'!D70</f>
        <v>195266.27</v>
      </c>
      <c r="P65" s="76">
        <f>'Первомайская 46а'!D70</f>
        <v>252059.54</v>
      </c>
      <c r="Q65" s="76">
        <f>'Первомайская 48'!D70</f>
        <v>126148.90000000001</v>
      </c>
      <c r="R65" s="76">
        <f>'Советская 12-1'!D70</f>
        <v>197537.91</v>
      </c>
      <c r="S65" s="76">
        <f>'Советская 14'!D70</f>
        <v>110288.53</v>
      </c>
      <c r="T65" s="76">
        <f>'пр-зд Чернышевского 18а'!D70</f>
        <v>46645.75</v>
      </c>
      <c r="U65" s="76">
        <f t="shared" si="0"/>
        <v>2761479.13</v>
      </c>
    </row>
    <row r="66" spans="1:21" ht="15" customHeight="1">
      <c r="A66" s="6" t="s">
        <v>120</v>
      </c>
      <c r="B66" s="15" t="s">
        <v>94</v>
      </c>
      <c r="C66" s="8" t="s">
        <v>16</v>
      </c>
      <c r="D66" s="23">
        <f>'Полярный пр-зд 5а'!D71</f>
        <v>133373.5</v>
      </c>
      <c r="E66" s="76">
        <f>'Ленина 32-16'!D71</f>
        <v>267640.81</v>
      </c>
      <c r="F66" s="76">
        <f>'Ленина 34'!D71</f>
        <v>67087.53</v>
      </c>
      <c r="G66" s="76">
        <f>'Ленина 35-20'!D71</f>
        <v>269513.93</v>
      </c>
      <c r="H66" s="76">
        <f>'Ленина 35а'!D71</f>
        <v>87336.83</v>
      </c>
      <c r="I66" s="76">
        <f>'Ленина 36'!D71</f>
        <v>104965.68</v>
      </c>
      <c r="J66" s="76">
        <f>'Ленина 38-7'!D71</f>
        <v>193995.17</v>
      </c>
      <c r="K66" s="76">
        <f>'Ленина 39'!D71</f>
        <v>218431.45</v>
      </c>
      <c r="L66" s="76">
        <f>'Ленина 45'!D71</f>
        <v>83396.59</v>
      </c>
      <c r="M66" s="76">
        <f>'Ленина 47-12'!D71</f>
        <v>112382.48</v>
      </c>
      <c r="N66" s="76">
        <f>'Корешкова 6'!D71</f>
        <v>193472.55</v>
      </c>
      <c r="O66" s="76">
        <f>'Корешкова 8-50'!D71</f>
        <v>187958.8</v>
      </c>
      <c r="P66" s="76">
        <f>'Первомайская 46а'!D71</f>
        <v>247290.65</v>
      </c>
      <c r="Q66" s="76">
        <f>'Первомайская 48'!D71</f>
        <v>129697.90000000001</v>
      </c>
      <c r="R66" s="76">
        <f>'Советская 12-1'!D71</f>
        <v>183761.53</v>
      </c>
      <c r="S66" s="76">
        <f>'Советская 14'!D71</f>
        <v>108384.70999999999</v>
      </c>
      <c r="T66" s="76">
        <f>'пр-зд Чернышевского 18а'!D71</f>
        <v>41705.74</v>
      </c>
      <c r="U66" s="76">
        <f t="shared" si="0"/>
        <v>2630395.85</v>
      </c>
    </row>
    <row r="67" spans="1:21" ht="15" customHeight="1">
      <c r="A67" s="6" t="s">
        <v>121</v>
      </c>
      <c r="B67" s="15" t="s">
        <v>96</v>
      </c>
      <c r="C67" s="8" t="s">
        <v>16</v>
      </c>
      <c r="D67" s="23">
        <f>'Полярный пр-зд 5а'!D72</f>
        <v>7032.03</v>
      </c>
      <c r="E67" s="76">
        <f>'Ленина 32-16'!D72</f>
        <v>35500.14</v>
      </c>
      <c r="F67" s="76">
        <f>'Ленина 34'!D72</f>
        <v>12658.35</v>
      </c>
      <c r="G67" s="76">
        <f>'Ленина 35-20'!D72</f>
        <v>43557.21</v>
      </c>
      <c r="H67" s="76">
        <f>'Ленина 35а'!D72</f>
        <v>15488.38</v>
      </c>
      <c r="I67" s="76">
        <f>'Ленина 36'!D72</f>
        <v>7727.99</v>
      </c>
      <c r="J67" s="76">
        <f>'Ленина 38-7'!D72</f>
        <v>40394.43</v>
      </c>
      <c r="K67" s="76">
        <f>'Ленина 39'!D72</f>
        <v>26348.27</v>
      </c>
      <c r="L67" s="76">
        <f>'Ленина 45'!D72</f>
        <v>3602.92</v>
      </c>
      <c r="M67" s="76">
        <f>'Ленина 47-12'!D72</f>
        <v>19987.36</v>
      </c>
      <c r="N67" s="76">
        <f>'Корешкова 6'!D72</f>
        <v>32050.08</v>
      </c>
      <c r="O67" s="76">
        <f>'Корешкова 8-50'!D72</f>
        <v>39857.33</v>
      </c>
      <c r="P67" s="76">
        <f>'Первомайская 46а'!D72</f>
        <v>13858.65</v>
      </c>
      <c r="Q67" s="76">
        <f>'Первомайская 48'!D72</f>
        <v>15493.729999999998</v>
      </c>
      <c r="R67" s="76">
        <f>'Советская 12-1'!D72</f>
        <v>28269.51</v>
      </c>
      <c r="S67" s="76">
        <f>'Советская 14'!D72</f>
        <v>11027.730000000001</v>
      </c>
      <c r="T67" s="76">
        <f>'пр-зд Чернышевского 18а'!D72</f>
        <v>4940.01</v>
      </c>
      <c r="U67" s="76">
        <f t="shared" si="0"/>
        <v>357794.12000000005</v>
      </c>
    </row>
    <row r="68" spans="1:21" ht="29.25" customHeight="1">
      <c r="A68" s="6" t="s">
        <v>122</v>
      </c>
      <c r="B68" s="15" t="s">
        <v>98</v>
      </c>
      <c r="C68" s="8" t="s">
        <v>16</v>
      </c>
      <c r="D68" s="23">
        <f>'Полярный пр-зд 5а'!D73</f>
        <v>131827.95</v>
      </c>
      <c r="E68" s="76">
        <f>'Ленина 32-16'!D73</f>
        <v>276758.18</v>
      </c>
      <c r="F68" s="76">
        <f>'Ленина 34'!D73</f>
        <v>79745.88</v>
      </c>
      <c r="G68" s="76">
        <f>'Ленина 35-20'!D73</f>
        <v>279754.9</v>
      </c>
      <c r="H68" s="76">
        <f>'Ленина 35а'!D73</f>
        <v>102825.21</v>
      </c>
      <c r="I68" s="76">
        <f>'Ленина 36'!D73</f>
        <v>112693.67</v>
      </c>
      <c r="J68" s="76">
        <f>'Ленина 38-7'!D73</f>
        <v>205333.69</v>
      </c>
      <c r="K68" s="76">
        <f>'Ленина 39'!D73</f>
        <v>228233.09</v>
      </c>
      <c r="L68" s="76">
        <f>'Ленина 45'!D73</f>
        <v>86642.34</v>
      </c>
      <c r="M68" s="76">
        <f>'Ленина 47-12'!D73</f>
        <v>132369.84</v>
      </c>
      <c r="N68" s="76">
        <f>'Корешкова 6'!D73</f>
        <v>196990.09</v>
      </c>
      <c r="O68" s="76">
        <f>'Корешкова 8-50'!D73</f>
        <v>195266.27</v>
      </c>
      <c r="P68" s="76">
        <f>'Первомайская 46а'!D73</f>
        <v>252059.54</v>
      </c>
      <c r="Q68" s="76">
        <f>'Первомайская 48'!D73</f>
        <v>123213.53</v>
      </c>
      <c r="R68" s="76">
        <f>'Советская 12-1'!D73</f>
        <v>197537.91</v>
      </c>
      <c r="S68" s="76">
        <f>'Советская 14'!D73</f>
        <v>106870.56</v>
      </c>
      <c r="T68" s="76">
        <f>'пр-зд Чернышевского 18а'!D73</f>
        <v>46645.75</v>
      </c>
      <c r="U68" s="76">
        <f aca="true" t="shared" si="1" ref="U68:U90">SUM(D68:T68)</f>
        <v>2754768.4000000004</v>
      </c>
    </row>
    <row r="69" spans="1:21" ht="29.25" customHeight="1">
      <c r="A69" s="6" t="s">
        <v>123</v>
      </c>
      <c r="B69" s="15" t="s">
        <v>100</v>
      </c>
      <c r="C69" s="8" t="s">
        <v>16</v>
      </c>
      <c r="D69" s="23">
        <f>'Полярный пр-зд 5а'!D74</f>
        <v>174707.87</v>
      </c>
      <c r="E69" s="76">
        <f>'Ленина 32-16'!D74</f>
        <v>367559.1</v>
      </c>
      <c r="F69" s="76">
        <f>'Ленина 34'!D74</f>
        <v>105909.51</v>
      </c>
      <c r="G69" s="76">
        <f>'Ленина 35-20'!D74</f>
        <v>371539</v>
      </c>
      <c r="H69" s="76">
        <f>'Ленина 35а'!D74</f>
        <v>136560.88</v>
      </c>
      <c r="I69" s="76">
        <f>'Ленина 36'!D74</f>
        <v>149667.06</v>
      </c>
      <c r="J69" s="76">
        <f>'Ленина 38-7'!D74</f>
        <v>272701.12</v>
      </c>
      <c r="K69" s="76">
        <f>'Ленина 39'!D74</f>
        <v>303113.53</v>
      </c>
      <c r="L69" s="76">
        <f>'Ленина 45'!D74</f>
        <v>57490.9</v>
      </c>
      <c r="M69" s="76">
        <f>'Ленина 47-12'!D74</f>
        <v>175798.74</v>
      </c>
      <c r="N69" s="76">
        <f>'Корешкова 6'!D74</f>
        <v>261620.09</v>
      </c>
      <c r="O69" s="76">
        <f>'Корешкова 8-50'!D74</f>
        <v>259330.7</v>
      </c>
      <c r="P69" s="76">
        <f>'Первомайская 46а'!D74</f>
        <v>334757.14</v>
      </c>
      <c r="Q69" s="76">
        <f>'Первомайская 48'!D74</f>
        <v>110064.12</v>
      </c>
      <c r="R69" s="76">
        <f>'Советская 12-1'!D74</f>
        <v>262347.64</v>
      </c>
      <c r="S69" s="76">
        <f>'Советская 14'!D74</f>
        <v>70913.19</v>
      </c>
      <c r="T69" s="76">
        <f>'пр-зд Чернышевского 18а'!D74</f>
        <v>61949.64</v>
      </c>
      <c r="U69" s="76">
        <f t="shared" si="1"/>
        <v>3476030.2300000004</v>
      </c>
    </row>
    <row r="70" spans="1:21" ht="29.25" customHeight="1">
      <c r="A70" s="6" t="s">
        <v>124</v>
      </c>
      <c r="B70" s="15" t="s">
        <v>102</v>
      </c>
      <c r="C70" s="8" t="s">
        <v>16</v>
      </c>
      <c r="D70" s="23">
        <f>'Полярный пр-зд 5а'!D75</f>
        <v>16634.760000000002</v>
      </c>
      <c r="E70" s="76">
        <f>'Ленина 32-16'!D75</f>
        <v>-16319.32</v>
      </c>
      <c r="F70" s="76">
        <f>'Ленина 34'!D75</f>
        <v>-4702.29</v>
      </c>
      <c r="G70" s="76">
        <f>'Ленина 35-20'!D75</f>
        <v>-16496.02</v>
      </c>
      <c r="H70" s="76">
        <f>'Ленина 35а'!D75</f>
        <v>-6063.19</v>
      </c>
      <c r="I70" s="76">
        <f>'Ленина 36'!D75</f>
        <v>-6645.09</v>
      </c>
      <c r="J70" s="76">
        <f>'Ленина 38-7'!D75</f>
        <v>-12107.7</v>
      </c>
      <c r="K70" s="76">
        <f>'Ленина 39'!D75</f>
        <v>-13457.99</v>
      </c>
      <c r="L70" s="76">
        <f>'Ленина 45'!D75</f>
        <v>41163.99</v>
      </c>
      <c r="M70" s="76">
        <f>'Ленина 47-12'!D75</f>
        <v>-7805.32</v>
      </c>
      <c r="N70" s="76">
        <f>'Корешкова 6'!D75</f>
        <v>-11615.71</v>
      </c>
      <c r="O70" s="76">
        <f>'Корешкова 8-50'!D75</f>
        <v>-11514.07</v>
      </c>
      <c r="P70" s="76">
        <f>'Первомайская 46а'!D75</f>
        <v>-14862.94</v>
      </c>
      <c r="Q70" s="76">
        <f>'Первомайская 48'!D75</f>
        <v>35790.09</v>
      </c>
      <c r="R70" s="76">
        <f>'Советская 12-1'!D75</f>
        <v>-11648.02</v>
      </c>
      <c r="S70" s="76">
        <f>'Советская 14'!D75</f>
        <v>50774.46</v>
      </c>
      <c r="T70" s="76">
        <f>'пр-зд Чернышевского 18а'!D75</f>
        <v>-2750.51</v>
      </c>
      <c r="U70" s="76">
        <f t="shared" si="1"/>
        <v>8375.130000000006</v>
      </c>
    </row>
    <row r="71" spans="1:21" ht="29.25" customHeight="1">
      <c r="A71" s="6" t="s">
        <v>125</v>
      </c>
      <c r="B71" s="16" t="s">
        <v>104</v>
      </c>
      <c r="C71" s="8" t="s">
        <v>16</v>
      </c>
      <c r="D71" s="23">
        <f>'Полярный пр-зд 5а'!D76</f>
        <v>0</v>
      </c>
      <c r="E71" s="76">
        <f>'Ленина 32-16'!D76</f>
        <v>0</v>
      </c>
      <c r="F71" s="76">
        <f>'Ленина 34'!D76</f>
        <v>0</v>
      </c>
      <c r="G71" s="76">
        <f>'Ленина 35-20'!D76</f>
        <v>0</v>
      </c>
      <c r="H71" s="76">
        <f>'Ленина 35а'!D76</f>
        <v>0</v>
      </c>
      <c r="I71" s="76">
        <f>'Ленина 36'!D76</f>
        <v>0</v>
      </c>
      <c r="J71" s="76">
        <f>'Ленина 38-7'!D76</f>
        <v>0</v>
      </c>
      <c r="K71" s="76">
        <f>'Ленина 39'!D76</f>
        <v>0</v>
      </c>
      <c r="L71" s="76">
        <f>'Ленина 45'!D76</f>
        <v>0</v>
      </c>
      <c r="M71" s="76">
        <f>'Ленина 47-12'!D76</f>
        <v>0</v>
      </c>
      <c r="N71" s="76">
        <f>'Корешкова 6'!D76</f>
        <v>0</v>
      </c>
      <c r="O71" s="76">
        <f>'Корешкова 8-50'!D76</f>
        <v>0</v>
      </c>
      <c r="P71" s="76">
        <f>'Первомайская 46а'!D76</f>
        <v>0</v>
      </c>
      <c r="Q71" s="76">
        <f>'Первомайская 48'!D76</f>
        <v>0</v>
      </c>
      <c r="R71" s="76">
        <f>'Советская 12-1'!D76</f>
        <v>0</v>
      </c>
      <c r="S71" s="76">
        <f>'Советская 14'!D76</f>
        <v>0</v>
      </c>
      <c r="T71" s="76">
        <f>'пр-зд Чернышевского 18а'!D76</f>
        <v>0</v>
      </c>
      <c r="U71" s="76">
        <f t="shared" si="1"/>
        <v>0</v>
      </c>
    </row>
    <row r="72" spans="1:21" ht="16.5" customHeight="1">
      <c r="A72" s="6" t="s">
        <v>126</v>
      </c>
      <c r="B72" s="16" t="s">
        <v>83</v>
      </c>
      <c r="C72" s="8" t="s">
        <v>7</v>
      </c>
      <c r="D72" s="71" t="s">
        <v>127</v>
      </c>
      <c r="E72" s="76" t="str">
        <f>'Ленина 32-16'!D77</f>
        <v>Отопление</v>
      </c>
      <c r="F72" s="76" t="str">
        <f>'Ленина 34'!D77</f>
        <v>Отопление</v>
      </c>
      <c r="G72" s="76" t="str">
        <f>'Ленина 35-20'!D77</f>
        <v>Отопление</v>
      </c>
      <c r="H72" s="76" t="str">
        <f>'Ленина 35а'!D77</f>
        <v>Отопление</v>
      </c>
      <c r="I72" s="76" t="str">
        <f>'Ленина 36'!D77</f>
        <v>Отопление</v>
      </c>
      <c r="J72" s="76" t="str">
        <f>'Ленина 38-7'!D77</f>
        <v>Отопление</v>
      </c>
      <c r="K72" s="76" t="str">
        <f>'Ленина 39'!D77</f>
        <v>Отопление</v>
      </c>
      <c r="L72" s="76" t="str">
        <f>'Ленина 45'!D77</f>
        <v>Отопление</v>
      </c>
      <c r="M72" s="76" t="str">
        <f>'Ленина 47-12'!D77</f>
        <v>Отопление</v>
      </c>
      <c r="N72" s="76" t="str">
        <f>'Корешкова 6'!D77</f>
        <v>Отопление</v>
      </c>
      <c r="O72" s="76" t="str">
        <f>'Корешкова 8-50'!D77</f>
        <v>Отопление</v>
      </c>
      <c r="P72" s="76" t="str">
        <f>'Первомайская 46а'!D77</f>
        <v>Отопление</v>
      </c>
      <c r="Q72" s="76" t="str">
        <f>'Первомайская 48'!D77</f>
        <v>Отопление</v>
      </c>
      <c r="R72" s="76" t="str">
        <f>'Советская 12-1'!D77</f>
        <v>Отопление</v>
      </c>
      <c r="S72" s="76" t="str">
        <f>'Советская 14'!D77</f>
        <v>Отопление</v>
      </c>
      <c r="T72" s="76" t="str">
        <f>'пр-зд Чернышевского 18а'!D77</f>
        <v>Отопление</v>
      </c>
      <c r="U72" s="76">
        <f t="shared" si="1"/>
        <v>0</v>
      </c>
    </row>
    <row r="73" spans="1:21" ht="16.5" customHeight="1">
      <c r="A73" s="6" t="s">
        <v>128</v>
      </c>
      <c r="B73" s="16" t="s">
        <v>86</v>
      </c>
      <c r="C73" s="8" t="s">
        <v>7</v>
      </c>
      <c r="D73" s="24" t="s">
        <v>129</v>
      </c>
      <c r="E73" s="76" t="str">
        <f>'Ленина 32-16'!D78</f>
        <v>Гкал</v>
      </c>
      <c r="F73" s="76" t="str">
        <f>'Ленина 34'!D78</f>
        <v>Гкал</v>
      </c>
      <c r="G73" s="76" t="str">
        <f>'Ленина 35-20'!D78</f>
        <v>Гкал</v>
      </c>
      <c r="H73" s="76" t="str">
        <f>'Ленина 35а'!D78</f>
        <v>Гкал</v>
      </c>
      <c r="I73" s="76" t="str">
        <f>'Ленина 36'!D78</f>
        <v>Гкал</v>
      </c>
      <c r="J73" s="76" t="str">
        <f>'Ленина 38-7'!D78</f>
        <v>Гкал</v>
      </c>
      <c r="K73" s="76" t="str">
        <f>'Ленина 39'!D78</f>
        <v>Гкал</v>
      </c>
      <c r="L73" s="76" t="str">
        <f>'Ленина 45'!D78</f>
        <v>Гкал</v>
      </c>
      <c r="M73" s="76" t="str">
        <f>'Ленина 47-12'!D78</f>
        <v>Гкал</v>
      </c>
      <c r="N73" s="76" t="str">
        <f>'Корешкова 6'!D78</f>
        <v>Гкал</v>
      </c>
      <c r="O73" s="76" t="str">
        <f>'Корешкова 8-50'!D78</f>
        <v>Гкал</v>
      </c>
      <c r="P73" s="76" t="str">
        <f>'Первомайская 46а'!D78</f>
        <v>Гкал</v>
      </c>
      <c r="Q73" s="76" t="str">
        <f>'Первомайская 48'!D78</f>
        <v>Гкал</v>
      </c>
      <c r="R73" s="76" t="str">
        <f>'Советская 12-1'!D78</f>
        <v>Гкал</v>
      </c>
      <c r="S73" s="76" t="str">
        <f>'Советская 14'!D78</f>
        <v>Гкал</v>
      </c>
      <c r="T73" s="76" t="str">
        <f>'пр-зд Чернышевского 18а'!D78</f>
        <v>Гкал</v>
      </c>
      <c r="U73" s="76">
        <f t="shared" si="1"/>
        <v>0</v>
      </c>
    </row>
    <row r="74" spans="1:21" ht="16.5" customHeight="1">
      <c r="A74" s="6" t="s">
        <v>130</v>
      </c>
      <c r="B74" s="16" t="s">
        <v>89</v>
      </c>
      <c r="C74" s="8" t="s">
        <v>90</v>
      </c>
      <c r="D74" s="17">
        <f>'Полярный пр-зд 5а'!D79</f>
        <v>432.85</v>
      </c>
      <c r="E74" s="76">
        <f>'Ленина 32-16'!D79</f>
        <v>1340.0047090883013</v>
      </c>
      <c r="F74" s="76">
        <f>'Ленина 34'!D79</f>
        <v>395.2255061966194</v>
      </c>
      <c r="G74" s="76">
        <f>'Ленина 35-20'!D79</f>
        <v>1365.2132356456473</v>
      </c>
      <c r="H74" s="76">
        <f>'Ленина 35а'!D79</f>
        <v>371.47106994769354</v>
      </c>
      <c r="I74" s="76">
        <f>'Ленина 36'!D79</f>
        <v>488.7284617735769</v>
      </c>
      <c r="J74" s="76">
        <f>'Ленина 38-7'!D79</f>
        <v>963.29265669073</v>
      </c>
      <c r="K74" s="76">
        <f>'Ленина 39'!D79</f>
        <v>1034.329313477076</v>
      </c>
      <c r="L74" s="76">
        <f>'Ленина 45'!D79</f>
        <v>213.44</v>
      </c>
      <c r="M74" s="76">
        <f>'Ленина 47-12'!D79</f>
        <v>559.6584679442449</v>
      </c>
      <c r="N74" s="76">
        <f>'Корешкова 6'!D79</f>
        <v>844.8732191518861</v>
      </c>
      <c r="O74" s="76">
        <f>'Корешкова 8-50'!D79</f>
        <v>842.9842950709949</v>
      </c>
      <c r="P74" s="76">
        <f>'Первомайская 46а'!D79</f>
        <v>918.7583185925324</v>
      </c>
      <c r="Q74" s="76">
        <f>'Первомайская 48'!D79</f>
        <v>587.85</v>
      </c>
      <c r="R74" s="76">
        <f>'Советская 12-1'!D79</f>
        <v>956.3205825405174</v>
      </c>
      <c r="S74" s="76">
        <f>'Советская 14'!D79</f>
        <v>553.1</v>
      </c>
      <c r="T74" s="76">
        <f>'пр-зд Чернышевского 18а'!D79</f>
        <v>164.13081816137162</v>
      </c>
      <c r="U74" s="76">
        <f t="shared" si="1"/>
        <v>12032.230654281191</v>
      </c>
    </row>
    <row r="75" spans="1:21" ht="16.5" customHeight="1">
      <c r="A75" s="6" t="s">
        <v>131</v>
      </c>
      <c r="B75" s="16" t="s">
        <v>92</v>
      </c>
      <c r="C75" s="8" t="s">
        <v>16</v>
      </c>
      <c r="D75" s="17">
        <f>'Полярный пр-зд 5а'!D80</f>
        <v>719428.54</v>
      </c>
      <c r="E75" s="76">
        <f>'Ленина 32-16'!D80</f>
        <v>2242310.28</v>
      </c>
      <c r="F75" s="76">
        <f>'Ленина 34'!D80</f>
        <v>685324.98</v>
      </c>
      <c r="G75" s="76">
        <f>'Ленина 35-20'!D80</f>
        <v>2284493.22</v>
      </c>
      <c r="H75" s="76">
        <f>'Ленина 35а'!D80</f>
        <v>644134.55</v>
      </c>
      <c r="I75" s="76">
        <f>'Ленина 36'!D80</f>
        <v>847460.04</v>
      </c>
      <c r="J75" s="76">
        <f>'Ленина 38-7'!D80</f>
        <v>1611935.4</v>
      </c>
      <c r="K75" s="76">
        <f>'Ленина 39'!D80</f>
        <v>1730805.3</v>
      </c>
      <c r="L75" s="76">
        <f>'Ленина 45'!D80</f>
        <v>436744.27</v>
      </c>
      <c r="M75" s="76">
        <f>'Ленина 47-12'!D80</f>
        <v>970453.38</v>
      </c>
      <c r="N75" s="76">
        <f>'Корешкова 6'!D80</f>
        <v>1413777.05</v>
      </c>
      <c r="O75" s="76">
        <f>'Корешкова 8-50'!D80</f>
        <v>1410616.2</v>
      </c>
      <c r="P75" s="76">
        <f>'Первомайская 46а'!D80</f>
        <v>1537413.42</v>
      </c>
      <c r="Q75" s="76">
        <f>'Первомайская 48'!D80</f>
        <v>977401.0900000001</v>
      </c>
      <c r="R75" s="76">
        <f>'Советская 12-1'!D80</f>
        <v>1600268.61</v>
      </c>
      <c r="S75" s="76">
        <f>'Советская 14'!D80</f>
        <v>880886.1</v>
      </c>
      <c r="T75" s="76">
        <f>'пр-зд Чернышевского 18а'!D80</f>
        <v>284604.48</v>
      </c>
      <c r="U75" s="76">
        <f t="shared" si="1"/>
        <v>20278056.910000004</v>
      </c>
    </row>
    <row r="76" spans="1:21" ht="16.5" customHeight="1">
      <c r="A76" s="6" t="s">
        <v>132</v>
      </c>
      <c r="B76" s="15" t="s">
        <v>94</v>
      </c>
      <c r="C76" s="8" t="s">
        <v>16</v>
      </c>
      <c r="D76" s="17">
        <f>'Полярный пр-зд 5а'!D81</f>
        <v>727861.91</v>
      </c>
      <c r="E76" s="76">
        <f>'Ленина 32-16'!D81</f>
        <v>2168440.8</v>
      </c>
      <c r="F76" s="76">
        <f>'Ленина 34'!D81</f>
        <v>576540.87</v>
      </c>
      <c r="G76" s="76">
        <f>'Ленина 35-20'!D81</f>
        <v>2200864.89</v>
      </c>
      <c r="H76" s="76">
        <f>'Ленина 35а'!D81</f>
        <v>547109.72</v>
      </c>
      <c r="I76" s="76">
        <f>'Ленина 36'!D81</f>
        <v>789345.3</v>
      </c>
      <c r="J76" s="76">
        <f>'Ленина 38-7'!D81</f>
        <v>1522924.38</v>
      </c>
      <c r="K76" s="76">
        <f>'Ленина 39'!D81</f>
        <v>1656474.61</v>
      </c>
      <c r="L76" s="76">
        <f>'Ленина 45'!D81</f>
        <v>416250.13</v>
      </c>
      <c r="M76" s="76">
        <f>'Ленина 47-12'!D81</f>
        <v>823918.5</v>
      </c>
      <c r="N76" s="76">
        <f>'Корешкова 6'!D81</f>
        <v>1388532.02</v>
      </c>
      <c r="O76" s="76">
        <f>'Корешкова 8-50'!D81</f>
        <v>1357826.57</v>
      </c>
      <c r="P76" s="76">
        <f>'Первомайская 46а'!D81</f>
        <v>1508326.02</v>
      </c>
      <c r="Q76" s="76">
        <f>'Первомайская 48'!D81</f>
        <v>980806.29</v>
      </c>
      <c r="R76" s="76">
        <f>'Советская 12-1'!D81</f>
        <v>1488665.15</v>
      </c>
      <c r="S76" s="76">
        <f>'Советская 14'!D81</f>
        <v>867244.3</v>
      </c>
      <c r="T76" s="76">
        <f>'пр-зд Чернышевского 18а'!D81</f>
        <v>254463.52</v>
      </c>
      <c r="U76" s="76">
        <f t="shared" si="1"/>
        <v>19275594.98</v>
      </c>
    </row>
    <row r="77" spans="1:21" ht="16.5" customHeight="1">
      <c r="A77" s="6" t="s">
        <v>133</v>
      </c>
      <c r="B77" s="15" t="s">
        <v>96</v>
      </c>
      <c r="C77" s="8" t="s">
        <v>16</v>
      </c>
      <c r="D77" s="17">
        <f>'Полярный пр-зд 5а'!D82</f>
        <v>38376.04</v>
      </c>
      <c r="E77" s="76">
        <f>'Ленина 32-16'!D82</f>
        <v>287624.15</v>
      </c>
      <c r="F77" s="76">
        <f>'Ленина 34'!D82</f>
        <v>108784.11</v>
      </c>
      <c r="G77" s="76">
        <f>'Ленина 35-20'!D82</f>
        <v>355690.43</v>
      </c>
      <c r="H77" s="76">
        <f>'Ленина 35а'!D82</f>
        <v>97024.83</v>
      </c>
      <c r="I77" s="76">
        <f>'Ленина 36'!D82</f>
        <v>58114.74</v>
      </c>
      <c r="J77" s="76">
        <f>'Ленина 38-7'!D82</f>
        <v>317109.24</v>
      </c>
      <c r="K77" s="76">
        <f>'Ленина 39'!D82</f>
        <v>199812.06</v>
      </c>
      <c r="L77" s="76">
        <f>'Ленина 45'!D82</f>
        <v>20494.14</v>
      </c>
      <c r="M77" s="76">
        <f>'Ленина 47-12'!D82</f>
        <v>146534.88</v>
      </c>
      <c r="N77" s="76">
        <f>'Корешкова 6'!D82</f>
        <v>230020</v>
      </c>
      <c r="O77" s="76">
        <f>'Корешкова 8-50'!D82</f>
        <v>287931.92</v>
      </c>
      <c r="P77" s="76">
        <f>'Первомайская 46а'!D82</f>
        <v>84529.52</v>
      </c>
      <c r="Q77" s="76">
        <f>'Первомайская 48'!D82</f>
        <v>142669.62</v>
      </c>
      <c r="R77" s="76">
        <f>'Советская 12-1'!D82</f>
        <v>229013.28</v>
      </c>
      <c r="S77" s="76">
        <f>'Советская 14'!D82</f>
        <v>82018.15</v>
      </c>
      <c r="T77" s="76">
        <f>'пр-зд Чернышевского 18а'!D82</f>
        <v>30140.96</v>
      </c>
      <c r="U77" s="76">
        <f t="shared" si="1"/>
        <v>2715888.07</v>
      </c>
    </row>
    <row r="78" spans="1:21" ht="29.25" customHeight="1">
      <c r="A78" s="6" t="s">
        <v>134</v>
      </c>
      <c r="B78" s="15" t="s">
        <v>98</v>
      </c>
      <c r="C78" s="8" t="s">
        <v>16</v>
      </c>
      <c r="D78" s="17">
        <f>'Полярный пр-зд 5а'!D83</f>
        <v>686499.54</v>
      </c>
      <c r="E78" s="76">
        <f>'Ленина 32-16'!D83</f>
        <v>2242310.28</v>
      </c>
      <c r="F78" s="76">
        <f>'Ленина 34'!D83</f>
        <v>685324.98</v>
      </c>
      <c r="G78" s="76">
        <f>'Ленина 35-20'!D83</f>
        <v>2284493.22</v>
      </c>
      <c r="H78" s="76">
        <f>'Ленина 35а'!D83</f>
        <v>644134.55</v>
      </c>
      <c r="I78" s="76">
        <f>'Ленина 36'!D83</f>
        <v>847460.04</v>
      </c>
      <c r="J78" s="76">
        <f>'Ленина 38-7'!D83</f>
        <v>1611935.4</v>
      </c>
      <c r="K78" s="76">
        <f>'Ленина 39'!D83</f>
        <v>1730805.3</v>
      </c>
      <c r="L78" s="76">
        <f>'Ленина 45'!D83</f>
        <v>423861.44</v>
      </c>
      <c r="M78" s="76">
        <f>'Ленина 47-12'!D83</f>
        <v>970453.38</v>
      </c>
      <c r="N78" s="76">
        <f>'Корешкова 6'!D83</f>
        <v>1413777.05</v>
      </c>
      <c r="O78" s="76">
        <f>'Корешкова 8-50'!D83</f>
        <v>1410616.2</v>
      </c>
      <c r="P78" s="76">
        <f>'Первомайская 46а'!D83</f>
        <v>1537413.42</v>
      </c>
      <c r="Q78" s="76">
        <f>'Первомайская 48'!D83</f>
        <v>1034214.8600000001</v>
      </c>
      <c r="R78" s="76">
        <f>'Советская 12-1'!D83</f>
        <v>1600268.61</v>
      </c>
      <c r="S78" s="76">
        <f>'Советская 14'!D83</f>
        <v>865944.67</v>
      </c>
      <c r="T78" s="76">
        <f>'пр-зд Чернышевского 18а'!D83</f>
        <v>284604.48</v>
      </c>
      <c r="U78" s="76">
        <f t="shared" si="1"/>
        <v>20274117.42</v>
      </c>
    </row>
    <row r="79" spans="1:21" ht="29.25" customHeight="1">
      <c r="A79" s="6" t="s">
        <v>135</v>
      </c>
      <c r="B79" s="15" t="s">
        <v>100</v>
      </c>
      <c r="C79" s="8" t="s">
        <v>16</v>
      </c>
      <c r="D79" s="17">
        <f>'Полярный пр-зд 5а'!D84</f>
        <v>648532.11</v>
      </c>
      <c r="E79" s="76">
        <f>'Ленина 32-16'!D84</f>
        <v>2285518.67</v>
      </c>
      <c r="F79" s="76">
        <f>'Ленина 34'!D84</f>
        <v>698530.91</v>
      </c>
      <c r="G79" s="76">
        <f>'Ленина 35-20'!D84</f>
        <v>2328514.46</v>
      </c>
      <c r="H79" s="76">
        <f>'Ленина 35а'!D84</f>
        <v>656546.76</v>
      </c>
      <c r="I79" s="76">
        <f>'Ленина 36'!D84</f>
        <v>863790.24</v>
      </c>
      <c r="J79" s="76">
        <f>'Ленина 38-7'!D84</f>
        <v>1642996.73</v>
      </c>
      <c r="K79" s="76">
        <f>'Ленина 39'!D84</f>
        <v>1764157.2</v>
      </c>
      <c r="L79" s="76">
        <f>'Ленина 45'!D84</f>
        <v>320552.61</v>
      </c>
      <c r="M79" s="76">
        <f>'Ленина 47-12'!D84</f>
        <v>989153.61</v>
      </c>
      <c r="N79" s="76">
        <f>'Корешкова 6'!D84</f>
        <v>1441019.95</v>
      </c>
      <c r="O79" s="76">
        <f>'Корешкова 8-50'!D84</f>
        <v>1437798.19</v>
      </c>
      <c r="P79" s="76">
        <f>'Первомайская 46а'!D84</f>
        <v>1567038.74</v>
      </c>
      <c r="Q79" s="76">
        <f>'Первомайская 48'!D84</f>
        <v>872637.2</v>
      </c>
      <c r="R79" s="76">
        <f>'Советская 12-1'!D84</f>
        <v>1631105.12</v>
      </c>
      <c r="S79" s="76">
        <f>'Советская 14'!D84</f>
        <v>654885.77</v>
      </c>
      <c r="T79" s="76">
        <f>'пр-зд Чернышевского 18а'!D84</f>
        <v>290088.69</v>
      </c>
      <c r="U79" s="76">
        <f t="shared" si="1"/>
        <v>20092866.96</v>
      </c>
    </row>
    <row r="80" spans="1:21" ht="29.25" customHeight="1">
      <c r="A80" s="6" t="s">
        <v>136</v>
      </c>
      <c r="B80" s="15" t="s">
        <v>102</v>
      </c>
      <c r="C80" s="8" t="s">
        <v>16</v>
      </c>
      <c r="D80" s="17">
        <f>'Полярный пр-зд 5а'!D85</f>
        <v>97799.13</v>
      </c>
      <c r="E80" s="76">
        <f>'Ленина 32-16'!D85</f>
        <v>106517.49</v>
      </c>
      <c r="F80" s="76">
        <f>'Ленина 34'!D85</f>
        <v>32555.3</v>
      </c>
      <c r="G80" s="76">
        <f>'Ленина 35-20'!D85</f>
        <v>108521.32</v>
      </c>
      <c r="H80" s="76">
        <f>'Ленина 35а'!D85</f>
        <v>30598.62</v>
      </c>
      <c r="I80" s="76">
        <f>'Ленина 36'!D85</f>
        <v>40257.28</v>
      </c>
      <c r="J80" s="76">
        <f>'Ленина 38-7'!D85</f>
        <v>76572.5</v>
      </c>
      <c r="K80" s="76">
        <f>'Ленина 39'!D85</f>
        <v>82219.23</v>
      </c>
      <c r="L80" s="76">
        <f>'Ленина 45'!D85</f>
        <v>162078.25</v>
      </c>
      <c r="M80" s="76">
        <f>'Ленина 47-12'!D85</f>
        <v>46099.89</v>
      </c>
      <c r="N80" s="76">
        <f>'Корешкова 6'!D85</f>
        <v>67159.3</v>
      </c>
      <c r="O80" s="76">
        <f>'Корешкова 8-50'!D85</f>
        <v>67009.14</v>
      </c>
      <c r="P80" s="76">
        <f>'Первомайская 46а'!D85</f>
        <v>73032.45</v>
      </c>
      <c r="Q80" s="76">
        <f>'Первомайская 48'!D85</f>
        <v>280241.72</v>
      </c>
      <c r="R80" s="76">
        <f>'Советская 12-1'!D85</f>
        <v>76018.29</v>
      </c>
      <c r="S80" s="76">
        <f>'Советская 14'!D85</f>
        <v>331124.24</v>
      </c>
      <c r="T80" s="76">
        <f>'пр-зд Чернышевского 18а'!D85</f>
        <v>13519.7</v>
      </c>
      <c r="U80" s="76">
        <f t="shared" si="1"/>
        <v>1691323.85</v>
      </c>
    </row>
    <row r="81" spans="1:21" ht="29.25" customHeight="1">
      <c r="A81" s="6" t="s">
        <v>137</v>
      </c>
      <c r="B81" s="16" t="s">
        <v>104</v>
      </c>
      <c r="C81" s="8" t="s">
        <v>16</v>
      </c>
      <c r="D81" s="17">
        <f>'Полярный пр-зд 5а'!D86</f>
        <v>0</v>
      </c>
      <c r="E81" s="76">
        <f>'Ленина 32-16'!D86</f>
        <v>0</v>
      </c>
      <c r="F81" s="76">
        <f>'Ленина 34'!D86</f>
        <v>0</v>
      </c>
      <c r="G81" s="76">
        <f>'Ленина 35-20'!D86</f>
        <v>0</v>
      </c>
      <c r="H81" s="76">
        <f>'Ленина 35а'!D86</f>
        <v>0</v>
      </c>
      <c r="I81" s="76">
        <f>'Ленина 36'!D86</f>
        <v>0</v>
      </c>
      <c r="J81" s="76">
        <f>'Ленина 38-7'!D86</f>
        <v>0</v>
      </c>
      <c r="K81" s="76">
        <f>'Ленина 39'!D86</f>
        <v>0</v>
      </c>
      <c r="L81" s="76">
        <f>'Ленина 45'!D86</f>
        <v>0</v>
      </c>
      <c r="M81" s="76">
        <f>'Ленина 47-12'!D86</f>
        <v>0</v>
      </c>
      <c r="N81" s="76">
        <f>'Корешкова 6'!D86</f>
        <v>0</v>
      </c>
      <c r="O81" s="76">
        <f>'Корешкова 8-50'!D86</f>
        <v>0</v>
      </c>
      <c r="P81" s="76">
        <f>'Первомайская 46а'!D86</f>
        <v>0</v>
      </c>
      <c r="Q81" s="76">
        <f>'Первомайская 48'!D86</f>
        <v>0</v>
      </c>
      <c r="R81" s="76">
        <f>'Советская 12-1'!D86</f>
        <v>0</v>
      </c>
      <c r="S81" s="76">
        <f>'Советская 14'!D86</f>
        <v>0</v>
      </c>
      <c r="T81" s="76">
        <f>'пр-зд Чернышевского 18а'!D86</f>
        <v>0</v>
      </c>
      <c r="U81" s="76">
        <f t="shared" si="1"/>
        <v>0</v>
      </c>
    </row>
    <row r="82" spans="1:21" ht="29.25" customHeight="1">
      <c r="A82" s="107" t="s">
        <v>138</v>
      </c>
      <c r="B82" s="107"/>
      <c r="C82" s="107"/>
      <c r="D82" s="17">
        <f>'Полярный пр-зд 5а'!D87</f>
        <v>0</v>
      </c>
      <c r="E82" s="76">
        <f>'Ленина 32-16'!D87</f>
        <v>0</v>
      </c>
      <c r="F82" s="76">
        <f>'Ленина 34'!D87</f>
        <v>0</v>
      </c>
      <c r="G82" s="76">
        <f>'Ленина 35-20'!D87</f>
        <v>0</v>
      </c>
      <c r="H82" s="76">
        <f>'Ленина 35а'!D87</f>
        <v>0</v>
      </c>
      <c r="I82" s="76">
        <f>'Ленина 36'!D87</f>
        <v>0</v>
      </c>
      <c r="J82" s="76">
        <f>'Ленина 38-7'!D87</f>
        <v>0</v>
      </c>
      <c r="K82" s="76">
        <f>'Ленина 39'!D87</f>
        <v>0</v>
      </c>
      <c r="L82" s="76">
        <f>'Ленина 45'!D87</f>
        <v>0</v>
      </c>
      <c r="M82" s="76">
        <f>'Ленина 47-12'!D87</f>
        <v>0</v>
      </c>
      <c r="N82" s="76">
        <f>'Корешкова 6'!D87</f>
        <v>0</v>
      </c>
      <c r="O82" s="76">
        <f>'Корешкова 8-50'!D87</f>
        <v>0</v>
      </c>
      <c r="P82" s="76">
        <f>'Первомайская 46а'!D87</f>
        <v>0</v>
      </c>
      <c r="Q82" s="76">
        <f>'Первомайская 48'!D87</f>
        <v>0</v>
      </c>
      <c r="R82" s="76">
        <f>'Советская 12-1'!D87</f>
        <v>0</v>
      </c>
      <c r="S82" s="76">
        <f>'Советская 14'!D87</f>
        <v>0</v>
      </c>
      <c r="T82" s="76">
        <f>'пр-зд Чернышевского 18а'!D87</f>
        <v>0</v>
      </c>
      <c r="U82" s="76">
        <f t="shared" si="1"/>
        <v>0</v>
      </c>
    </row>
    <row r="83" spans="1:21" ht="15" customHeight="1">
      <c r="A83" s="6" t="s">
        <v>139</v>
      </c>
      <c r="B83" s="16" t="s">
        <v>64</v>
      </c>
      <c r="C83" s="8" t="s">
        <v>65</v>
      </c>
      <c r="D83" s="17">
        <f>'Полярный пр-зд 5а'!D88</f>
        <v>0</v>
      </c>
      <c r="E83" s="76">
        <f>'Ленина 32-16'!D88</f>
        <v>0</v>
      </c>
      <c r="F83" s="76">
        <f>'Ленина 34'!D88</f>
        <v>0</v>
      </c>
      <c r="G83" s="76">
        <f>'Ленина 35-20'!D88</f>
        <v>0</v>
      </c>
      <c r="H83" s="76">
        <f>'Ленина 35а'!D88</f>
        <v>0</v>
      </c>
      <c r="I83" s="76">
        <f>'Ленина 36'!D88</f>
        <v>0</v>
      </c>
      <c r="J83" s="76">
        <f>'Ленина 38-7'!D88</f>
        <v>0</v>
      </c>
      <c r="K83" s="76">
        <f>'Ленина 39'!D88</f>
        <v>0</v>
      </c>
      <c r="L83" s="76">
        <f>'Ленина 45'!D88</f>
        <v>0</v>
      </c>
      <c r="M83" s="76">
        <f>'Ленина 47-12'!D88</f>
        <v>0</v>
      </c>
      <c r="N83" s="76">
        <f>'Корешкова 6'!D88</f>
        <v>0</v>
      </c>
      <c r="O83" s="76">
        <f>'Корешкова 8-50'!D88</f>
        <v>0</v>
      </c>
      <c r="P83" s="76">
        <f>'Первомайская 46а'!D88</f>
        <v>0</v>
      </c>
      <c r="Q83" s="76">
        <f>'Первомайская 48'!D88</f>
        <v>0</v>
      </c>
      <c r="R83" s="76">
        <f>'Советская 12-1'!D88</f>
        <v>0</v>
      </c>
      <c r="S83" s="76">
        <f>'Советская 14'!D88</f>
        <v>0</v>
      </c>
      <c r="T83" s="76">
        <f>'пр-зд Чернышевского 18а'!D88</f>
        <v>0</v>
      </c>
      <c r="U83" s="76">
        <f t="shared" si="1"/>
        <v>0</v>
      </c>
    </row>
    <row r="84" spans="1:21" ht="15" customHeight="1">
      <c r="A84" s="6" t="s">
        <v>140</v>
      </c>
      <c r="B84" s="16" t="s">
        <v>67</v>
      </c>
      <c r="C84" s="8" t="s">
        <v>65</v>
      </c>
      <c r="D84" s="17">
        <f>'Полярный пр-зд 5а'!D89</f>
        <v>0</v>
      </c>
      <c r="E84" s="76">
        <f>'Ленина 32-16'!D89</f>
        <v>0</v>
      </c>
      <c r="F84" s="76">
        <f>'Ленина 34'!D89</f>
        <v>0</v>
      </c>
      <c r="G84" s="76">
        <f>'Ленина 35-20'!D89</f>
        <v>0</v>
      </c>
      <c r="H84" s="76">
        <f>'Ленина 35а'!D89</f>
        <v>0</v>
      </c>
      <c r="I84" s="76">
        <f>'Ленина 36'!D89</f>
        <v>0</v>
      </c>
      <c r="J84" s="76">
        <f>'Ленина 38-7'!D89</f>
        <v>0</v>
      </c>
      <c r="K84" s="76">
        <f>'Ленина 39'!D89</f>
        <v>0</v>
      </c>
      <c r="L84" s="76">
        <f>'Ленина 45'!D89</f>
        <v>0</v>
      </c>
      <c r="M84" s="76">
        <f>'Ленина 47-12'!D89</f>
        <v>0</v>
      </c>
      <c r="N84" s="76">
        <f>'Корешкова 6'!D89</f>
        <v>0</v>
      </c>
      <c r="O84" s="76">
        <f>'Корешкова 8-50'!D89</f>
        <v>0</v>
      </c>
      <c r="P84" s="76">
        <f>'Первомайская 46а'!D89</f>
        <v>0</v>
      </c>
      <c r="Q84" s="76">
        <f>'Первомайская 48'!D89</f>
        <v>0</v>
      </c>
      <c r="R84" s="76">
        <f>'Советская 12-1'!D89</f>
        <v>0</v>
      </c>
      <c r="S84" s="76">
        <f>'Советская 14'!D89</f>
        <v>0</v>
      </c>
      <c r="T84" s="76">
        <f>'пр-зд Чернышевского 18а'!D89</f>
        <v>0</v>
      </c>
      <c r="U84" s="76">
        <f t="shared" si="1"/>
        <v>0</v>
      </c>
    </row>
    <row r="85" spans="1:21" ht="29.25" customHeight="1">
      <c r="A85" s="6" t="s">
        <v>141</v>
      </c>
      <c r="B85" s="16" t="s">
        <v>69</v>
      </c>
      <c r="C85" s="8" t="s">
        <v>65</v>
      </c>
      <c r="D85" s="17">
        <f>'Полярный пр-зд 5а'!D90</f>
        <v>0</v>
      </c>
      <c r="E85" s="76">
        <f>'Ленина 32-16'!D90</f>
        <v>0</v>
      </c>
      <c r="F85" s="76">
        <f>'Ленина 34'!D90</f>
        <v>0</v>
      </c>
      <c r="G85" s="76">
        <f>'Ленина 35-20'!D90</f>
        <v>0</v>
      </c>
      <c r="H85" s="76">
        <f>'Ленина 35а'!D90</f>
        <v>0</v>
      </c>
      <c r="I85" s="76">
        <f>'Ленина 36'!D90</f>
        <v>0</v>
      </c>
      <c r="J85" s="76">
        <f>'Ленина 38-7'!D90</f>
        <v>0</v>
      </c>
      <c r="K85" s="76">
        <f>'Ленина 39'!D90</f>
        <v>0</v>
      </c>
      <c r="L85" s="76">
        <f>'Ленина 45'!D90</f>
        <v>0</v>
      </c>
      <c r="M85" s="76">
        <f>'Ленина 47-12'!D90</f>
        <v>0</v>
      </c>
      <c r="N85" s="76">
        <f>'Корешкова 6'!D90</f>
        <v>0</v>
      </c>
      <c r="O85" s="76">
        <f>'Корешкова 8-50'!D90</f>
        <v>0</v>
      </c>
      <c r="P85" s="76">
        <f>'Первомайская 46а'!D90</f>
        <v>0</v>
      </c>
      <c r="Q85" s="76">
        <f>'Первомайская 48'!D90</f>
        <v>0</v>
      </c>
      <c r="R85" s="76">
        <f>'Советская 12-1'!D90</f>
        <v>0</v>
      </c>
      <c r="S85" s="76">
        <f>'Советская 14'!D90</f>
        <v>0</v>
      </c>
      <c r="T85" s="76">
        <f>'пр-зд Чернышевского 18а'!D90</f>
        <v>0</v>
      </c>
      <c r="U85" s="76">
        <f t="shared" si="1"/>
        <v>0</v>
      </c>
    </row>
    <row r="86" spans="1:21" ht="15" customHeight="1">
      <c r="A86" s="6" t="s">
        <v>142</v>
      </c>
      <c r="B86" s="16" t="s">
        <v>71</v>
      </c>
      <c r="C86" s="8" t="s">
        <v>16</v>
      </c>
      <c r="D86" s="17">
        <f>'Полярный пр-зд 5а'!D91</f>
        <v>0</v>
      </c>
      <c r="E86" s="76">
        <f>'Ленина 32-16'!D91</f>
        <v>0</v>
      </c>
      <c r="F86" s="76">
        <f>'Ленина 34'!D91</f>
        <v>0</v>
      </c>
      <c r="G86" s="76">
        <f>'Ленина 35-20'!D91</f>
        <v>0</v>
      </c>
      <c r="H86" s="76">
        <f>'Ленина 35а'!D91</f>
        <v>0</v>
      </c>
      <c r="I86" s="76">
        <f>'Ленина 36'!D91</f>
        <v>0</v>
      </c>
      <c r="J86" s="76">
        <f>'Ленина 38-7'!D91</f>
        <v>0</v>
      </c>
      <c r="K86" s="76">
        <f>'Ленина 39'!D91</f>
        <v>0</v>
      </c>
      <c r="L86" s="76">
        <f>'Ленина 45'!D91</f>
        <v>0</v>
      </c>
      <c r="M86" s="76">
        <f>'Ленина 47-12'!D91</f>
        <v>0</v>
      </c>
      <c r="N86" s="76">
        <f>'Корешкова 6'!D91</f>
        <v>0</v>
      </c>
      <c r="O86" s="76">
        <f>'Корешкова 8-50'!D91</f>
        <v>0</v>
      </c>
      <c r="P86" s="76">
        <f>'Первомайская 46а'!D91</f>
        <v>0</v>
      </c>
      <c r="Q86" s="76">
        <f>'Первомайская 48'!D91</f>
        <v>0</v>
      </c>
      <c r="R86" s="76">
        <f>'Советская 12-1'!D91</f>
        <v>0</v>
      </c>
      <c r="S86" s="76">
        <f>'Советская 14'!D91</f>
        <v>0</v>
      </c>
      <c r="T86" s="76">
        <f>'пр-зд Чернышевского 18а'!D91</f>
        <v>0</v>
      </c>
      <c r="U86" s="76">
        <f t="shared" si="1"/>
        <v>0</v>
      </c>
    </row>
    <row r="87" spans="1:21" ht="29.25" customHeight="1">
      <c r="A87" s="104" t="s">
        <v>143</v>
      </c>
      <c r="B87" s="105"/>
      <c r="C87" s="106"/>
      <c r="D87" s="17">
        <f>'Полярный пр-зд 5а'!D92</f>
        <v>0</v>
      </c>
      <c r="E87" s="76">
        <f>'Ленина 32-16'!D92</f>
        <v>0</v>
      </c>
      <c r="F87" s="76">
        <f>'Ленина 34'!D92</f>
        <v>0</v>
      </c>
      <c r="G87" s="76">
        <f>'Ленина 35-20'!D92</f>
        <v>0</v>
      </c>
      <c r="H87" s="76">
        <f>'Ленина 35а'!D92</f>
        <v>0</v>
      </c>
      <c r="I87" s="76">
        <f>'Ленина 36'!D92</f>
        <v>0</v>
      </c>
      <c r="J87" s="76">
        <f>'Ленина 38-7'!D92</f>
        <v>0</v>
      </c>
      <c r="K87" s="76">
        <f>'Ленина 39'!D92</f>
        <v>0</v>
      </c>
      <c r="L87" s="76">
        <f>'Ленина 45'!D92</f>
        <v>0</v>
      </c>
      <c r="M87" s="76">
        <f>'Ленина 47-12'!D92</f>
        <v>0</v>
      </c>
      <c r="N87" s="76">
        <f>'Корешкова 6'!D92</f>
        <v>0</v>
      </c>
      <c r="O87" s="76">
        <f>'Корешкова 8-50'!D92</f>
        <v>0</v>
      </c>
      <c r="P87" s="76">
        <f>'Первомайская 46а'!D92</f>
        <v>0</v>
      </c>
      <c r="Q87" s="76">
        <f>'Первомайская 48'!D92</f>
        <v>0</v>
      </c>
      <c r="R87" s="76">
        <f>'Советская 12-1'!D92</f>
        <v>0</v>
      </c>
      <c r="S87" s="76">
        <f>'Советская 14'!D92</f>
        <v>0</v>
      </c>
      <c r="T87" s="76">
        <f>'пр-зд Чернышевского 18а'!D92</f>
        <v>0</v>
      </c>
      <c r="U87" s="76">
        <f t="shared" si="1"/>
        <v>0</v>
      </c>
    </row>
    <row r="88" spans="1:21" ht="29.25" customHeight="1">
      <c r="A88" s="6" t="s">
        <v>144</v>
      </c>
      <c r="B88" s="16" t="s">
        <v>145</v>
      </c>
      <c r="C88" s="8" t="s">
        <v>65</v>
      </c>
      <c r="D88" s="17">
        <f>'Полярный пр-зд 5а'!D93</f>
        <v>4</v>
      </c>
      <c r="E88" s="76">
        <f>'Ленина 32-16'!D93</f>
        <v>13</v>
      </c>
      <c r="F88" s="76">
        <f>'Ленина 34'!D93</f>
        <v>10</v>
      </c>
      <c r="G88" s="76">
        <f>'Ленина 35-20'!D93</f>
        <v>13</v>
      </c>
      <c r="H88" s="76">
        <f>'Ленина 35а'!D93</f>
        <v>12</v>
      </c>
      <c r="I88" s="76">
        <f>'Ленина 36'!D93</f>
        <v>12</v>
      </c>
      <c r="J88" s="76">
        <f>'Ленина 38-7'!D93</f>
        <v>9</v>
      </c>
      <c r="K88" s="76">
        <f>'Ленина 39'!D93</f>
        <v>9</v>
      </c>
      <c r="L88" s="76">
        <f>'Ленина 45'!D93</f>
        <v>8</v>
      </c>
      <c r="M88" s="76">
        <f>'Ленина 47-12'!D93</f>
        <v>14</v>
      </c>
      <c r="N88" s="76">
        <f>'Корешкова 6'!D93</f>
        <v>8</v>
      </c>
      <c r="O88" s="76">
        <f>'Корешкова 8-50'!D93</f>
        <v>10</v>
      </c>
      <c r="P88" s="76">
        <f>'Первомайская 46а'!D93</f>
        <v>4</v>
      </c>
      <c r="Q88" s="76">
        <f>'Первомайская 48'!D93</f>
        <v>4</v>
      </c>
      <c r="R88" s="76">
        <f>'Советская 12-1'!D93</f>
        <v>14</v>
      </c>
      <c r="S88" s="76">
        <f>'Советская 14'!D93</f>
        <v>10</v>
      </c>
      <c r="T88" s="76">
        <f>'пр-зд Чернышевского 18а'!D93</f>
        <v>4</v>
      </c>
      <c r="U88" s="76">
        <f t="shared" si="1"/>
        <v>158</v>
      </c>
    </row>
    <row r="89" spans="1:21" ht="21" customHeight="1">
      <c r="A89" s="6" t="s">
        <v>146</v>
      </c>
      <c r="B89" s="16" t="s">
        <v>147</v>
      </c>
      <c r="C89" s="8" t="s">
        <v>65</v>
      </c>
      <c r="D89" s="17">
        <f>'Полярный пр-зд 5а'!D94</f>
        <v>1</v>
      </c>
      <c r="E89" s="76">
        <f>'Ленина 32-16'!D94</f>
        <v>2</v>
      </c>
      <c r="F89" s="76">
        <f>'Ленина 34'!D94</f>
        <v>1</v>
      </c>
      <c r="G89" s="76">
        <f>'Ленина 35-20'!D94</f>
        <v>2</v>
      </c>
      <c r="H89" s="76">
        <f>'Ленина 35а'!D94</f>
        <v>1</v>
      </c>
      <c r="I89" s="76">
        <f>'Ленина 36'!D94</f>
        <v>0</v>
      </c>
      <c r="J89" s="76">
        <f>'Ленина 38-7'!D94</f>
        <v>1</v>
      </c>
      <c r="K89" s="76">
        <f>'Ленина 39'!D94</f>
        <v>1</v>
      </c>
      <c r="L89" s="76">
        <f>'Ленина 45'!D94</f>
        <v>0</v>
      </c>
      <c r="M89" s="76">
        <f>'Ленина 47-12'!D94</f>
        <v>1</v>
      </c>
      <c r="N89" s="76">
        <f>'Корешкова 6'!D94</f>
        <v>1</v>
      </c>
      <c r="O89" s="76">
        <f>'Корешкова 8-50'!D94</f>
        <v>1</v>
      </c>
      <c r="P89" s="76">
        <f>'Первомайская 46а'!D94</f>
        <v>1</v>
      </c>
      <c r="Q89" s="76">
        <f>'Первомайская 48'!D94</f>
        <v>1</v>
      </c>
      <c r="R89" s="76">
        <f>'Советская 12-1'!D94</f>
        <v>1</v>
      </c>
      <c r="S89" s="76">
        <f>'Советская 14'!D94</f>
        <v>1</v>
      </c>
      <c r="T89" s="76">
        <f>'пр-зд Чернышевского 18а'!D94</f>
        <v>1</v>
      </c>
      <c r="U89" s="76">
        <f t="shared" si="1"/>
        <v>17</v>
      </c>
    </row>
    <row r="90" spans="1:21" ht="29.25" customHeight="1">
      <c r="A90" s="6" t="s">
        <v>148</v>
      </c>
      <c r="B90" s="16" t="s">
        <v>149</v>
      </c>
      <c r="C90" s="8" t="s">
        <v>16</v>
      </c>
      <c r="D90" s="17">
        <f>'Полярный пр-зд 5а'!D95</f>
        <v>22111</v>
      </c>
      <c r="E90" s="76">
        <f>'Ленина 32-16'!D95</f>
        <v>52125</v>
      </c>
      <c r="F90" s="76">
        <f>'Ленина 34'!D95</f>
        <v>52125</v>
      </c>
      <c r="G90" s="76">
        <f>'Ленина 35-20'!D95</f>
        <v>58251</v>
      </c>
      <c r="H90" s="76">
        <f>'Ленина 35а'!D95</f>
        <v>84711</v>
      </c>
      <c r="I90" s="76">
        <f>'Ленина 36'!D95</f>
        <v>62000</v>
      </c>
      <c r="J90" s="76">
        <f>'Ленина 38-7'!D95</f>
        <v>47853</v>
      </c>
      <c r="K90" s="76">
        <f>'Ленина 39'!D95</f>
        <v>83706</v>
      </c>
      <c r="L90" s="76">
        <f>'Ленина 45'!D95</f>
        <v>39492</v>
      </c>
      <c r="M90" s="76">
        <f>'Ленина 47-12'!D95</f>
        <v>31904</v>
      </c>
      <c r="N90" s="76">
        <f>'Корешкова 6'!D95</f>
        <v>70006</v>
      </c>
      <c r="O90" s="76">
        <f>'Корешкова 8-50'!D95</f>
        <v>87678</v>
      </c>
      <c r="P90" s="76">
        <f>'Первомайская 46а'!D95</f>
        <v>15441</v>
      </c>
      <c r="Q90" s="76">
        <f>'Первомайская 48'!D95</f>
        <v>29682</v>
      </c>
      <c r="R90" s="76">
        <f>'Советская 12-1'!D95</f>
        <v>41060</v>
      </c>
      <c r="S90" s="76">
        <f>'Советская 14'!D95</f>
        <v>53040</v>
      </c>
      <c r="T90" s="76">
        <f>'пр-зд Чернышевского 18а'!D95</f>
        <v>19123</v>
      </c>
      <c r="U90" s="76">
        <f t="shared" si="1"/>
        <v>850308</v>
      </c>
    </row>
    <row r="91" spans="1:20" ht="15">
      <c r="A91" s="2"/>
      <c r="B91" s="3"/>
      <c r="C91" s="1"/>
      <c r="D91" s="66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</row>
    <row r="92" spans="1:20" ht="15">
      <c r="A92" s="2"/>
      <c r="B92" s="3"/>
      <c r="C92" s="1"/>
      <c r="D92" s="66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</row>
    <row r="93" spans="1:20" ht="15">
      <c r="A93" s="2"/>
      <c r="B93" s="3"/>
      <c r="C93" s="1"/>
      <c r="D93" s="66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</row>
    <row r="94" spans="1:20" ht="15">
      <c r="A94" s="25" t="s">
        <v>150</v>
      </c>
      <c r="B94" s="26" t="s">
        <v>151</v>
      </c>
      <c r="C94" s="1"/>
      <c r="D94" s="66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</row>
    <row r="95" spans="1:20" ht="15">
      <c r="A95" s="2"/>
      <c r="B95" s="3"/>
      <c r="C95" s="1"/>
      <c r="D95" s="66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</row>
    <row r="96" spans="1:21" ht="15">
      <c r="A96" s="27" t="s">
        <v>1</v>
      </c>
      <c r="B96" s="28" t="s">
        <v>152</v>
      </c>
      <c r="C96" s="27"/>
      <c r="D96" s="96" t="s">
        <v>189</v>
      </c>
      <c r="E96" s="96" t="s">
        <v>190</v>
      </c>
      <c r="F96" s="96" t="s">
        <v>191</v>
      </c>
      <c r="G96" s="96" t="s">
        <v>192</v>
      </c>
      <c r="H96" s="96" t="s">
        <v>193</v>
      </c>
      <c r="I96" s="96" t="s">
        <v>194</v>
      </c>
      <c r="J96" s="96" t="s">
        <v>195</v>
      </c>
      <c r="K96" s="96" t="s">
        <v>196</v>
      </c>
      <c r="L96" s="96" t="s">
        <v>197</v>
      </c>
      <c r="M96" s="96" t="s">
        <v>198</v>
      </c>
      <c r="N96" s="96" t="s">
        <v>199</v>
      </c>
      <c r="O96" s="96" t="s">
        <v>200</v>
      </c>
      <c r="P96" s="96" t="s">
        <v>201</v>
      </c>
      <c r="Q96" s="96" t="s">
        <v>202</v>
      </c>
      <c r="R96" s="96" t="s">
        <v>203</v>
      </c>
      <c r="S96" s="96" t="s">
        <v>204</v>
      </c>
      <c r="T96" s="96" t="s">
        <v>205</v>
      </c>
      <c r="U96" s="78" t="s">
        <v>206</v>
      </c>
    </row>
    <row r="97" spans="1:21" ht="15.75">
      <c r="A97" s="27"/>
      <c r="B97" s="29" t="s">
        <v>154</v>
      </c>
      <c r="C97" s="30"/>
      <c r="D97" s="34">
        <f>'Полярный пр-зд 5а'!D102</f>
        <v>695652.3535</v>
      </c>
      <c r="E97" s="75">
        <f>'Ленина 32-16'!D102</f>
        <v>2254284.1678</v>
      </c>
      <c r="F97" s="77">
        <f>'Ленина 34'!D102</f>
        <v>1345099.326</v>
      </c>
      <c r="G97" s="75">
        <f>'Ленина 35-20'!D102</f>
        <v>2364997.4469999997</v>
      </c>
      <c r="H97" s="75">
        <f>'Ленина 35а'!D102</f>
        <v>1174447.5458</v>
      </c>
      <c r="I97" s="75">
        <f>'Ленина 36'!D102</f>
        <v>1784227.8597</v>
      </c>
      <c r="J97" s="75">
        <f>'Ленина 38-7'!D102</f>
        <v>1772814.0728000002</v>
      </c>
      <c r="K97" s="75">
        <f>'Ленина 39'!D102</f>
        <v>1764723.1316</v>
      </c>
      <c r="L97" s="75">
        <f>'Ленина 45'!D102</f>
        <v>1058387.5744</v>
      </c>
      <c r="M97" s="75">
        <f>'Ленина 47-12'!D102</f>
        <v>2294752.9041</v>
      </c>
      <c r="N97" s="75">
        <f>'Корешкова 6'!D102</f>
        <v>1620731.1228</v>
      </c>
      <c r="O97" s="75">
        <f>'Корешкова 8-50'!D102</f>
        <v>1432192.4483</v>
      </c>
      <c r="P97" s="75">
        <f>'Первомайская 46а'!D102</f>
        <v>1430387.3238</v>
      </c>
      <c r="Q97" s="75">
        <f>'Первомайская 48'!D102</f>
        <v>1035991.9379</v>
      </c>
      <c r="R97" s="75">
        <f>'Советская 12-1'!D102</f>
        <v>1743198.5995</v>
      </c>
      <c r="S97" s="75">
        <f>'Советская 14'!D102</f>
        <v>939205.8404999999</v>
      </c>
      <c r="T97" s="75">
        <f>'пр-зд Чернышевского 18а'!D102</f>
        <v>490327.01449999993</v>
      </c>
      <c r="U97" s="75">
        <f>SUM(D97:T97)</f>
        <v>25201420.67</v>
      </c>
    </row>
    <row r="98" spans="1:21" ht="15">
      <c r="A98" s="27">
        <v>1</v>
      </c>
      <c r="B98" s="32" t="s">
        <v>155</v>
      </c>
      <c r="C98" s="33"/>
      <c r="D98" s="34">
        <f>'Полярный пр-зд 5а'!D103</f>
        <v>98609</v>
      </c>
      <c r="E98" s="75">
        <f>'Ленина 32-16'!D103</f>
        <v>294264</v>
      </c>
      <c r="F98" s="77">
        <f>'Ленина 34'!D103</f>
        <v>175561</v>
      </c>
      <c r="G98" s="75">
        <f>'Ленина 35-20'!D103</f>
        <v>299844</v>
      </c>
      <c r="H98" s="75">
        <f>'Ленина 35а'!D103</f>
        <v>169067</v>
      </c>
      <c r="I98" s="75">
        <f>'Ленина 36'!D103</f>
        <v>214660</v>
      </c>
      <c r="J98" s="75">
        <f>'Ленина 38-7'!D103</f>
        <v>211547</v>
      </c>
      <c r="K98" s="75">
        <f>'Ленина 39'!D103</f>
        <v>234236</v>
      </c>
      <c r="L98" s="75">
        <f>'Ленина 45'!D103</f>
        <v>131476</v>
      </c>
      <c r="M98" s="75">
        <f>'Ленина 47-12'!D103</f>
        <v>249549</v>
      </c>
      <c r="N98" s="75">
        <f>'Корешкова 6'!D103</f>
        <v>185546</v>
      </c>
      <c r="O98" s="75">
        <f>'Корешкова 8-50'!D103</f>
        <v>185127</v>
      </c>
      <c r="P98" s="75">
        <f>'Первомайская 46а'!D103</f>
        <v>203383</v>
      </c>
      <c r="Q98" s="75">
        <f>'Первомайская 48'!D103</f>
        <v>140563</v>
      </c>
      <c r="R98" s="75">
        <f>'Советская 12-1'!D103</f>
        <v>213336</v>
      </c>
      <c r="S98" s="75">
        <f>'Советская 14'!D103</f>
        <v>128058</v>
      </c>
      <c r="T98" s="75">
        <f>'пр-зд Чернышевского 18а'!D103</f>
        <v>72090</v>
      </c>
      <c r="U98" s="75">
        <f aca="true" t="shared" si="2" ref="U98:U143">SUM(D98:T98)</f>
        <v>3206916</v>
      </c>
    </row>
    <row r="99" spans="1:21" ht="15">
      <c r="A99" s="27">
        <f>SUM(A98)+1</f>
        <v>2</v>
      </c>
      <c r="B99" s="32" t="s">
        <v>156</v>
      </c>
      <c r="C99" s="33"/>
      <c r="D99" s="34">
        <f>'Полярный пр-зд 5а'!D104</f>
        <v>52568</v>
      </c>
      <c r="E99" s="75">
        <f>'Ленина 32-16'!D104</f>
        <v>156873</v>
      </c>
      <c r="F99" s="77">
        <f>'Ленина 34'!D104</f>
        <v>93592</v>
      </c>
      <c r="G99" s="75">
        <f>'Ленина 35-20'!D104</f>
        <v>159847</v>
      </c>
      <c r="H99" s="75">
        <f>'Ленина 35а'!D104</f>
        <v>90130</v>
      </c>
      <c r="I99" s="75">
        <f>'Ленина 36'!D104</f>
        <v>114436</v>
      </c>
      <c r="J99" s="75">
        <f>'Ленина 38-7'!D104</f>
        <v>112776</v>
      </c>
      <c r="K99" s="75">
        <f>'Ленина 39'!D104</f>
        <v>124872</v>
      </c>
      <c r="L99" s="75">
        <f>'Ленина 45'!D104</f>
        <v>70090</v>
      </c>
      <c r="M99" s="75">
        <f>'Ленина 47-12'!D104</f>
        <v>133035</v>
      </c>
      <c r="N99" s="75">
        <f>'Корешкова 6'!D104</f>
        <v>98915</v>
      </c>
      <c r="O99" s="75">
        <f>'Корешкова 8-50'!D104</f>
        <v>98691</v>
      </c>
      <c r="P99" s="75">
        <f>'Первомайская 46а'!D104</f>
        <v>108424</v>
      </c>
      <c r="Q99" s="75">
        <f>'Первомайская 48'!D104</f>
        <v>74934</v>
      </c>
      <c r="R99" s="75">
        <f>'Советская 12-1'!D104</f>
        <v>113729</v>
      </c>
      <c r="S99" s="75">
        <f>'Советская 14'!D104</f>
        <v>68268</v>
      </c>
      <c r="T99" s="75">
        <f>'пр-зд Чернышевского 18а'!D104</f>
        <v>38431</v>
      </c>
      <c r="U99" s="75">
        <f t="shared" si="2"/>
        <v>1709611</v>
      </c>
    </row>
    <row r="100" spans="1:21" ht="15">
      <c r="A100" s="35">
        <f>SUM(A99)+1</f>
        <v>3</v>
      </c>
      <c r="B100" s="36" t="s">
        <v>157</v>
      </c>
      <c r="C100" s="37"/>
      <c r="D100" s="34">
        <f>'Полярный пр-зд 5а'!D105</f>
        <v>9651.42</v>
      </c>
      <c r="E100" s="75">
        <f>'Ленина 32-16'!D105</f>
        <v>21734.56</v>
      </c>
      <c r="F100" s="77">
        <f>'Ленина 34'!D105</f>
        <v>38149.09</v>
      </c>
      <c r="G100" s="75">
        <f>'Ленина 35-20'!D105</f>
        <v>27429.48</v>
      </c>
      <c r="H100" s="75">
        <f>'Ленина 35а'!D105</f>
        <v>30338.56</v>
      </c>
      <c r="I100" s="75">
        <f>'Ленина 36'!D105</f>
        <v>46707.35</v>
      </c>
      <c r="J100" s="75">
        <f>'Ленина 38-7'!D105</f>
        <v>25740.25</v>
      </c>
      <c r="K100" s="75">
        <f>'Ленина 39'!D105</f>
        <v>13709.77</v>
      </c>
      <c r="L100" s="75">
        <f>'Ленина 45'!D105</f>
        <v>27689.74</v>
      </c>
      <c r="M100" s="75">
        <f>'Ленина 47-12'!D105</f>
        <v>96319.9</v>
      </c>
      <c r="N100" s="75">
        <f>'Корешкова 6'!D105</f>
        <v>53214.13</v>
      </c>
      <c r="O100" s="75">
        <f>'Корешкова 8-50'!D105</f>
        <v>17443.2</v>
      </c>
      <c r="P100" s="75">
        <f>'Первомайская 46а'!D105</f>
        <v>44063.14</v>
      </c>
      <c r="Q100" s="75">
        <f>'Первомайская 48'!D105</f>
        <v>31682.52</v>
      </c>
      <c r="R100" s="75">
        <f>'Советская 12-1'!D105</f>
        <v>17337.86</v>
      </c>
      <c r="S100" s="75">
        <f>'Советская 14'!D105</f>
        <v>23326.87</v>
      </c>
      <c r="T100" s="75">
        <f>'пр-зд Чернышевского 18а'!D105</f>
        <v>6360.45</v>
      </c>
      <c r="U100" s="75">
        <f t="shared" si="2"/>
        <v>530898.29</v>
      </c>
    </row>
    <row r="101" spans="1:21" ht="15">
      <c r="A101" s="27">
        <f>SUM(A100)+1</f>
        <v>4</v>
      </c>
      <c r="B101" s="32" t="s">
        <v>158</v>
      </c>
      <c r="C101" s="37"/>
      <c r="D101" s="34">
        <f>'Полярный пр-зд 5а'!D106</f>
        <v>0</v>
      </c>
      <c r="E101" s="75">
        <f>'Ленина 32-16'!D106</f>
        <v>0</v>
      </c>
      <c r="F101" s="77">
        <f>'Ленина 34'!D106</f>
        <v>0</v>
      </c>
      <c r="G101" s="75">
        <f>'Ленина 35-20'!D106</f>
        <v>0</v>
      </c>
      <c r="H101" s="75">
        <f>'Ленина 35а'!D106</f>
        <v>0</v>
      </c>
      <c r="I101" s="75">
        <f>'Ленина 36'!D106</f>
        <v>0</v>
      </c>
      <c r="J101" s="75">
        <f>'Ленина 38-7'!D106</f>
        <v>0</v>
      </c>
      <c r="K101" s="75">
        <f>'Ленина 39'!D106</f>
        <v>0</v>
      </c>
      <c r="L101" s="75">
        <f>'Ленина 45'!D106</f>
        <v>0</v>
      </c>
      <c r="M101" s="75">
        <f>'Ленина 47-12'!D106</f>
        <v>0</v>
      </c>
      <c r="N101" s="75">
        <f>'Корешкова 6'!D106</f>
        <v>0</v>
      </c>
      <c r="O101" s="75">
        <f>'Корешкова 8-50'!D106</f>
        <v>0</v>
      </c>
      <c r="P101" s="75">
        <f>'Первомайская 46а'!D106</f>
        <v>0</v>
      </c>
      <c r="Q101" s="75">
        <f>'Первомайская 48'!D106</f>
        <v>0</v>
      </c>
      <c r="R101" s="75">
        <f>'Советская 12-1'!D106</f>
        <v>0</v>
      </c>
      <c r="S101" s="75">
        <f>'Советская 14'!D106</f>
        <v>0</v>
      </c>
      <c r="T101" s="75">
        <f>'пр-зд Чернышевского 18а'!D106</f>
        <v>0</v>
      </c>
      <c r="U101" s="75">
        <f t="shared" si="2"/>
        <v>0</v>
      </c>
    </row>
    <row r="102" spans="1:21" ht="15">
      <c r="A102" s="27">
        <f>SUM(A101)+1</f>
        <v>5</v>
      </c>
      <c r="B102" s="32" t="s">
        <v>159</v>
      </c>
      <c r="C102" s="37"/>
      <c r="D102" s="34">
        <f>'Полярный пр-зд 5а'!D107</f>
        <v>0</v>
      </c>
      <c r="E102" s="75">
        <f>'Ленина 32-16'!D107</f>
        <v>0</v>
      </c>
      <c r="F102" s="77">
        <f>'Ленина 34'!D107</f>
        <v>0</v>
      </c>
      <c r="G102" s="75">
        <f>'Ленина 35-20'!D107</f>
        <v>0</v>
      </c>
      <c r="H102" s="75">
        <f>'Ленина 35а'!D107</f>
        <v>0</v>
      </c>
      <c r="I102" s="75">
        <f>'Ленина 36'!D107</f>
        <v>0</v>
      </c>
      <c r="J102" s="75">
        <f>'Ленина 38-7'!D107</f>
        <v>0</v>
      </c>
      <c r="K102" s="75">
        <f>'Ленина 39'!D107</f>
        <v>0</v>
      </c>
      <c r="L102" s="75">
        <f>'Ленина 45'!D107</f>
        <v>0</v>
      </c>
      <c r="M102" s="75">
        <f>'Ленина 47-12'!D107</f>
        <v>0</v>
      </c>
      <c r="N102" s="75">
        <f>'Корешкова 6'!D107</f>
        <v>0</v>
      </c>
      <c r="O102" s="75">
        <f>'Корешкова 8-50'!D107</f>
        <v>0</v>
      </c>
      <c r="P102" s="75">
        <f>'Первомайская 46а'!D107</f>
        <v>0</v>
      </c>
      <c r="Q102" s="75">
        <f>'Первомайская 48'!D107</f>
        <v>0</v>
      </c>
      <c r="R102" s="75">
        <f>'Советская 12-1'!D107</f>
        <v>0</v>
      </c>
      <c r="S102" s="75">
        <f>'Советская 14'!D107</f>
        <v>0</v>
      </c>
      <c r="T102" s="75">
        <f>'пр-зд Чернышевского 18а'!D107</f>
        <v>0</v>
      </c>
      <c r="U102" s="75">
        <f t="shared" si="2"/>
        <v>0</v>
      </c>
    </row>
    <row r="103" spans="1:21" ht="15">
      <c r="A103" s="27" t="s">
        <v>7</v>
      </c>
      <c r="B103" s="40" t="s">
        <v>160</v>
      </c>
      <c r="C103" s="37"/>
      <c r="D103" s="34">
        <f>'Полярный пр-зд 5а'!D108</f>
        <v>0</v>
      </c>
      <c r="E103" s="75">
        <f>'Ленина 32-16'!D108</f>
        <v>0</v>
      </c>
      <c r="F103" s="77">
        <f>'Ленина 34'!D108</f>
        <v>0</v>
      </c>
      <c r="G103" s="75">
        <f>'Ленина 35-20'!D108</f>
        <v>0</v>
      </c>
      <c r="H103" s="75">
        <f>'Ленина 35а'!D108</f>
        <v>0</v>
      </c>
      <c r="I103" s="75">
        <f>'Ленина 36'!D108</f>
        <v>0</v>
      </c>
      <c r="J103" s="75">
        <f>'Ленина 38-7'!D108</f>
        <v>0</v>
      </c>
      <c r="K103" s="75">
        <f>'Ленина 39'!D108</f>
        <v>0</v>
      </c>
      <c r="L103" s="75">
        <f>'Ленина 45'!D108</f>
        <v>0</v>
      </c>
      <c r="M103" s="75">
        <f>'Ленина 47-12'!D108</f>
        <v>0</v>
      </c>
      <c r="N103" s="75">
        <f>'Корешкова 6'!D108</f>
        <v>0</v>
      </c>
      <c r="O103" s="75">
        <f>'Корешкова 8-50'!D108</f>
        <v>0</v>
      </c>
      <c r="P103" s="75">
        <f>'Первомайская 46а'!D108</f>
        <v>0</v>
      </c>
      <c r="Q103" s="75">
        <f>'Первомайская 48'!D108</f>
        <v>0</v>
      </c>
      <c r="R103" s="75">
        <f>'Советская 12-1'!D108</f>
        <v>0</v>
      </c>
      <c r="S103" s="75">
        <f>'Советская 14'!D108</f>
        <v>0</v>
      </c>
      <c r="T103" s="75">
        <f>'пр-зд Чернышевского 18а'!D108</f>
        <v>0</v>
      </c>
      <c r="U103" s="75">
        <f t="shared" si="2"/>
        <v>0</v>
      </c>
    </row>
    <row r="104" spans="1:21" ht="15">
      <c r="A104" s="27"/>
      <c r="B104" s="41" t="s">
        <v>161</v>
      </c>
      <c r="C104" s="37"/>
      <c r="D104" s="34">
        <f>'Полярный пр-зд 5а'!D109</f>
        <v>0</v>
      </c>
      <c r="E104" s="75">
        <f>'Ленина 32-16'!D109</f>
        <v>0</v>
      </c>
      <c r="F104" s="77">
        <f>'Ленина 34'!D109</f>
        <v>0</v>
      </c>
      <c r="G104" s="75">
        <f>'Ленина 35-20'!D109</f>
        <v>0</v>
      </c>
      <c r="H104" s="75">
        <f>'Ленина 35а'!D109</f>
        <v>0</v>
      </c>
      <c r="I104" s="75">
        <f>'Ленина 36'!D109</f>
        <v>0</v>
      </c>
      <c r="J104" s="75">
        <f>'Ленина 38-7'!D109</f>
        <v>0</v>
      </c>
      <c r="K104" s="75">
        <f>'Ленина 39'!D109</f>
        <v>0</v>
      </c>
      <c r="L104" s="75">
        <f>'Ленина 45'!D109</f>
        <v>0</v>
      </c>
      <c r="M104" s="75">
        <f>'Ленина 47-12'!D109</f>
        <v>0</v>
      </c>
      <c r="N104" s="75">
        <f>'Корешкова 6'!D109</f>
        <v>0</v>
      </c>
      <c r="O104" s="75">
        <f>'Корешкова 8-50'!D109</f>
        <v>0</v>
      </c>
      <c r="P104" s="75">
        <f>'Первомайская 46а'!D109</f>
        <v>0</v>
      </c>
      <c r="Q104" s="75">
        <f>'Первомайская 48'!D109</f>
        <v>0</v>
      </c>
      <c r="R104" s="75">
        <f>'Советская 12-1'!D109</f>
        <v>0</v>
      </c>
      <c r="S104" s="75">
        <f>'Советская 14'!D109</f>
        <v>0</v>
      </c>
      <c r="T104" s="75">
        <f>'пр-зд Чернышевского 18а'!D109</f>
        <v>0</v>
      </c>
      <c r="U104" s="75">
        <f t="shared" si="2"/>
        <v>0</v>
      </c>
    </row>
    <row r="105" spans="1:21" ht="15">
      <c r="A105" s="27"/>
      <c r="B105" s="41" t="s">
        <v>162</v>
      </c>
      <c r="C105" s="37"/>
      <c r="D105" s="34">
        <f>'Полярный пр-зд 5а'!D110</f>
        <v>0</v>
      </c>
      <c r="E105" s="75">
        <f>'Ленина 32-16'!D110</f>
        <v>0</v>
      </c>
      <c r="F105" s="77">
        <f>'Ленина 34'!D110</f>
        <v>0</v>
      </c>
      <c r="G105" s="75">
        <f>'Ленина 35-20'!D110</f>
        <v>0</v>
      </c>
      <c r="H105" s="75">
        <f>'Ленина 35а'!D110</f>
        <v>0</v>
      </c>
      <c r="I105" s="75">
        <f>'Ленина 36'!D110</f>
        <v>0</v>
      </c>
      <c r="J105" s="75">
        <f>'Ленина 38-7'!D110</f>
        <v>0</v>
      </c>
      <c r="K105" s="75">
        <f>'Ленина 39'!D110</f>
        <v>0</v>
      </c>
      <c r="L105" s="75">
        <f>'Ленина 45'!D110</f>
        <v>0</v>
      </c>
      <c r="M105" s="75">
        <f>'Ленина 47-12'!D110</f>
        <v>0</v>
      </c>
      <c r="N105" s="75">
        <f>'Корешкова 6'!D110</f>
        <v>0</v>
      </c>
      <c r="O105" s="75">
        <f>'Корешкова 8-50'!D110</f>
        <v>0</v>
      </c>
      <c r="P105" s="75">
        <f>'Первомайская 46а'!D110</f>
        <v>0</v>
      </c>
      <c r="Q105" s="75">
        <f>'Первомайская 48'!D110</f>
        <v>0</v>
      </c>
      <c r="R105" s="75">
        <f>'Советская 12-1'!D110</f>
        <v>0</v>
      </c>
      <c r="S105" s="75">
        <f>'Советская 14'!D110</f>
        <v>0</v>
      </c>
      <c r="T105" s="75">
        <f>'пр-зд Чернышевского 18а'!D110</f>
        <v>0</v>
      </c>
      <c r="U105" s="75">
        <f t="shared" si="2"/>
        <v>0</v>
      </c>
    </row>
    <row r="106" spans="1:21" ht="15">
      <c r="A106" s="27" t="s">
        <v>7</v>
      </c>
      <c r="B106" s="42" t="s">
        <v>163</v>
      </c>
      <c r="C106" s="37"/>
      <c r="D106" s="34">
        <f>'Полярный пр-зд 5а'!D111</f>
        <v>0</v>
      </c>
      <c r="E106" s="75">
        <f>'Ленина 32-16'!D111</f>
        <v>0</v>
      </c>
      <c r="F106" s="77">
        <f>'Ленина 34'!D111</f>
        <v>0</v>
      </c>
      <c r="G106" s="75">
        <f>'Ленина 35-20'!D111</f>
        <v>0</v>
      </c>
      <c r="H106" s="75">
        <f>'Ленина 35а'!D111</f>
        <v>0</v>
      </c>
      <c r="I106" s="75">
        <f>'Ленина 36'!D111</f>
        <v>0</v>
      </c>
      <c r="J106" s="75">
        <f>'Ленина 38-7'!D111</f>
        <v>0</v>
      </c>
      <c r="K106" s="75">
        <f>'Ленина 39'!D111</f>
        <v>0</v>
      </c>
      <c r="L106" s="75">
        <f>'Ленина 45'!D111</f>
        <v>0</v>
      </c>
      <c r="M106" s="75">
        <f>'Ленина 47-12'!D111</f>
        <v>0</v>
      </c>
      <c r="N106" s="75">
        <f>'Корешкова 6'!D111</f>
        <v>0</v>
      </c>
      <c r="O106" s="75">
        <f>'Корешкова 8-50'!D111</f>
        <v>0</v>
      </c>
      <c r="P106" s="75">
        <f>'Первомайская 46а'!D111</f>
        <v>0</v>
      </c>
      <c r="Q106" s="75">
        <f>'Первомайская 48'!D111</f>
        <v>0</v>
      </c>
      <c r="R106" s="75">
        <f>'Советская 12-1'!D111</f>
        <v>0</v>
      </c>
      <c r="S106" s="75">
        <f>'Советская 14'!D111</f>
        <v>0</v>
      </c>
      <c r="T106" s="75">
        <f>'пр-зд Чернышевского 18а'!D111</f>
        <v>0</v>
      </c>
      <c r="U106" s="75">
        <f t="shared" si="2"/>
        <v>0</v>
      </c>
    </row>
    <row r="107" spans="1:21" ht="15">
      <c r="A107" s="43" t="s">
        <v>7</v>
      </c>
      <c r="B107" s="44" t="s">
        <v>185</v>
      </c>
      <c r="C107" s="45"/>
      <c r="D107" s="34">
        <f>'Полярный пр-зд 5а'!D112</f>
        <v>0</v>
      </c>
      <c r="E107" s="75">
        <f>'Ленина 32-16'!D112</f>
        <v>0</v>
      </c>
      <c r="F107" s="77">
        <f>'Ленина 34'!D112</f>
        <v>0</v>
      </c>
      <c r="G107" s="75">
        <f>'Ленина 35-20'!D112</f>
        <v>0</v>
      </c>
      <c r="H107" s="75">
        <f>'Ленина 35а'!D112</f>
        <v>0</v>
      </c>
      <c r="I107" s="75">
        <f>'Ленина 36'!D112</f>
        <v>0</v>
      </c>
      <c r="J107" s="75">
        <f>'Ленина 38-7'!D112</f>
        <v>0</v>
      </c>
      <c r="K107" s="75">
        <f>'Ленина 39'!D112</f>
        <v>0</v>
      </c>
      <c r="L107" s="75">
        <f>'Ленина 45'!D112</f>
        <v>0</v>
      </c>
      <c r="M107" s="75">
        <f>'Ленина 47-12'!D112</f>
        <v>0</v>
      </c>
      <c r="N107" s="75">
        <f>'Корешкова 6'!D112</f>
        <v>0</v>
      </c>
      <c r="O107" s="75">
        <f>'Корешкова 8-50'!D112</f>
        <v>0</v>
      </c>
      <c r="P107" s="75">
        <f>'Первомайская 46а'!D112</f>
        <v>0</v>
      </c>
      <c r="Q107" s="75">
        <f>'Первомайская 48'!D112</f>
        <v>0</v>
      </c>
      <c r="R107" s="75">
        <f>'Советская 12-1'!D112</f>
        <v>0</v>
      </c>
      <c r="S107" s="75">
        <f>'Советская 14'!D112</f>
        <v>0</v>
      </c>
      <c r="T107" s="75">
        <f>'пр-зд Чернышевского 18а'!D112</f>
        <v>0</v>
      </c>
      <c r="U107" s="75">
        <f t="shared" si="2"/>
        <v>0</v>
      </c>
    </row>
    <row r="108" spans="1:21" ht="78" customHeight="1">
      <c r="A108" s="27">
        <f>SUM(A102)+1</f>
        <v>6</v>
      </c>
      <c r="B108" s="47" t="s">
        <v>164</v>
      </c>
      <c r="C108" s="48"/>
      <c r="D108" s="34">
        <f>'Полярный пр-зд 5а'!D113</f>
        <v>192889.57</v>
      </c>
      <c r="E108" s="75">
        <f>'Ленина 32-16'!D113</f>
        <v>613338.78</v>
      </c>
      <c r="F108" s="77">
        <f>'Ленина 34'!D113</f>
        <v>398951.6</v>
      </c>
      <c r="G108" s="75">
        <f>'Ленина 35-20'!D113</f>
        <v>756952.6</v>
      </c>
      <c r="H108" s="75">
        <f>'Ленина 35а'!D113</f>
        <v>294996.37</v>
      </c>
      <c r="I108" s="75">
        <f>'Ленина 36'!D113</f>
        <v>529937.85</v>
      </c>
      <c r="J108" s="75">
        <f>'Ленина 38-7'!D113</f>
        <v>588798.16</v>
      </c>
      <c r="K108" s="75">
        <f>'Ленина 39'!D113</f>
        <v>545795.44</v>
      </c>
      <c r="L108" s="75">
        <f>'Ленина 45'!D113</f>
        <v>330799.81999999995</v>
      </c>
      <c r="M108" s="75">
        <f>'Ленина 47-12'!D113</f>
        <v>827182.66</v>
      </c>
      <c r="N108" s="75">
        <f>'Корешкова 6'!D113</f>
        <v>578328.67</v>
      </c>
      <c r="O108" s="75">
        <f>'Корешкова 8-50'!D113</f>
        <v>498365.93000000005</v>
      </c>
      <c r="P108" s="75">
        <f>'Первомайская 46а'!D113</f>
        <v>373759.29000000004</v>
      </c>
      <c r="Q108" s="75">
        <f>'Первомайская 48'!D113</f>
        <v>292151</v>
      </c>
      <c r="R108" s="75">
        <f>'Советская 12-1'!D113</f>
        <v>515016.67000000004</v>
      </c>
      <c r="S108" s="75">
        <f>'Советская 14'!D113</f>
        <v>233097.77</v>
      </c>
      <c r="T108" s="75">
        <f>'пр-зд Чернышевского 18а'!D113</f>
        <v>106579.78</v>
      </c>
      <c r="U108" s="75">
        <f t="shared" si="2"/>
        <v>7676941.96</v>
      </c>
    </row>
    <row r="109" spans="1:21" ht="60.75" customHeight="1">
      <c r="A109" s="49" t="s">
        <v>7</v>
      </c>
      <c r="B109" s="50" t="s">
        <v>165</v>
      </c>
      <c r="C109" s="51"/>
      <c r="D109" s="34">
        <f>'Полярный пр-зд 5а'!D114</f>
        <v>84764</v>
      </c>
      <c r="E109" s="75">
        <f>'Ленина 32-16'!D114</f>
        <v>344793</v>
      </c>
      <c r="F109" s="77">
        <f>'Ленина 34'!D114</f>
        <v>184953</v>
      </c>
      <c r="G109" s="75">
        <f>'Ленина 35-20'!D114</f>
        <v>296106</v>
      </c>
      <c r="H109" s="75">
        <f>'Ленина 35а'!D114</f>
        <v>138332</v>
      </c>
      <c r="I109" s="75">
        <f>'Ленина 36'!D114</f>
        <v>216634</v>
      </c>
      <c r="J109" s="75">
        <f>'Ленина 38-7'!D114</f>
        <v>221154</v>
      </c>
      <c r="K109" s="75">
        <f>'Ленина 39'!D114</f>
        <v>220271</v>
      </c>
      <c r="L109" s="75">
        <f>'Ленина 45'!D114</f>
        <v>110184</v>
      </c>
      <c r="M109" s="75">
        <f>'Ленина 47-12'!D114</f>
        <v>266044</v>
      </c>
      <c r="N109" s="75">
        <f>'Корешкова 6'!D114</f>
        <v>187665</v>
      </c>
      <c r="O109" s="75">
        <f>'Корешкова 8-50'!D114</f>
        <v>171301</v>
      </c>
      <c r="P109" s="75">
        <f>'Первомайская 46а'!D114</f>
        <v>171930</v>
      </c>
      <c r="Q109" s="75">
        <f>'Первомайская 48'!D114</f>
        <v>125616</v>
      </c>
      <c r="R109" s="75">
        <f>'Советская 12-1'!D114</f>
        <v>231251</v>
      </c>
      <c r="S109" s="75">
        <f>'Советская 14'!D114</f>
        <v>133397</v>
      </c>
      <c r="T109" s="75">
        <f>'пр-зд Чернышевского 18а'!D114</f>
        <v>62530</v>
      </c>
      <c r="U109" s="75">
        <f t="shared" si="2"/>
        <v>3166925</v>
      </c>
    </row>
    <row r="110" spans="1:21" ht="15">
      <c r="A110" s="53" t="s">
        <v>7</v>
      </c>
      <c r="B110" s="54" t="s">
        <v>166</v>
      </c>
      <c r="C110" s="37"/>
      <c r="D110" s="34">
        <f>'Полярный пр-зд 5а'!D115</f>
        <v>26192</v>
      </c>
      <c r="E110" s="75">
        <f>'Ленина 32-16'!D115</f>
        <v>106541</v>
      </c>
      <c r="F110" s="77">
        <f>'Ленина 34'!D115</f>
        <v>57151</v>
      </c>
      <c r="G110" s="75">
        <f>'Ленина 35-20'!D115</f>
        <v>91497</v>
      </c>
      <c r="H110" s="75">
        <f>'Ленина 35а'!D115</f>
        <v>42745</v>
      </c>
      <c r="I110" s="75">
        <f>'Ленина 36'!D115</f>
        <v>67558</v>
      </c>
      <c r="J110" s="75">
        <f>'Ленина 38-7'!D115</f>
        <v>68337</v>
      </c>
      <c r="K110" s="75">
        <f>'Ленина 39'!D115</f>
        <v>68064</v>
      </c>
      <c r="L110" s="75">
        <f>'Ленина 45'!D115</f>
        <v>34047</v>
      </c>
      <c r="M110" s="75">
        <f>'Ленина 47-12'!D115</f>
        <v>82208</v>
      </c>
      <c r="N110" s="75">
        <f>'Корешкова 6'!D115</f>
        <v>57988</v>
      </c>
      <c r="O110" s="75">
        <f>'Корешкова 8-50'!D115</f>
        <v>52932</v>
      </c>
      <c r="P110" s="75">
        <f>'Первомайская 46а'!D115</f>
        <v>53126</v>
      </c>
      <c r="Q110" s="75">
        <f>'Первомайская 48'!D115</f>
        <v>38815</v>
      </c>
      <c r="R110" s="75">
        <f>'Советская 12-1'!D115</f>
        <v>71456</v>
      </c>
      <c r="S110" s="75">
        <f>'Советская 14'!D115</f>
        <v>41220</v>
      </c>
      <c r="T110" s="75">
        <f>'пр-зд Чернышевского 18а'!D115</f>
        <v>19322</v>
      </c>
      <c r="U110" s="75">
        <f t="shared" si="2"/>
        <v>979199</v>
      </c>
    </row>
    <row r="111" spans="1:21" ht="15">
      <c r="A111" s="53" t="s">
        <v>7</v>
      </c>
      <c r="B111" s="54" t="s">
        <v>167</v>
      </c>
      <c r="C111" s="37"/>
      <c r="D111" s="34">
        <f>'Полярный пр-зд 5а'!D116</f>
        <v>0</v>
      </c>
      <c r="E111" s="75">
        <f>'Ленина 32-16'!D116</f>
        <v>52257.35</v>
      </c>
      <c r="F111" s="77">
        <f>'Ленина 34'!D116</f>
        <v>10801.05</v>
      </c>
      <c r="G111" s="75">
        <f>'Ленина 35-20'!D116</f>
        <v>18454.98</v>
      </c>
      <c r="H111" s="75">
        <f>'Ленина 35а'!D116</f>
        <v>10941.57</v>
      </c>
      <c r="I111" s="75">
        <f>'Ленина 36'!D116</f>
        <v>12992.45</v>
      </c>
      <c r="J111" s="75">
        <f>'Ленина 38-7'!D116</f>
        <v>11643.78</v>
      </c>
      <c r="K111" s="75">
        <f>'Ленина 39'!D116</f>
        <v>14163.3</v>
      </c>
      <c r="L111" s="75">
        <f>'Ленина 45'!D116</f>
        <v>8842.08</v>
      </c>
      <c r="M111" s="75">
        <f>'Ленина 47-12'!D116</f>
        <v>20260.21</v>
      </c>
      <c r="N111" s="75">
        <f>'Корешкова 6'!D116</f>
        <v>11787.32</v>
      </c>
      <c r="O111" s="75">
        <f>'Корешкова 8-50'!D116</f>
        <v>12752.82</v>
      </c>
      <c r="P111" s="75">
        <f>'Первомайская 46а'!D116</f>
        <v>15474.42</v>
      </c>
      <c r="Q111" s="75">
        <f>'Первомайская 48'!D116</f>
        <v>7789.32</v>
      </c>
      <c r="R111" s="75">
        <f>'Советская 12-1'!D116</f>
        <v>12821.65</v>
      </c>
      <c r="S111" s="75">
        <f>'Советская 14'!D116</f>
        <v>6948.77</v>
      </c>
      <c r="T111" s="75">
        <f>'пр-зд Чернышевского 18а'!D116</f>
        <v>4277.78</v>
      </c>
      <c r="U111" s="75">
        <f t="shared" si="2"/>
        <v>232208.84999999998</v>
      </c>
    </row>
    <row r="112" spans="1:21" ht="15">
      <c r="A112" s="53" t="s">
        <v>7</v>
      </c>
      <c r="B112" s="54" t="s">
        <v>168</v>
      </c>
      <c r="C112" s="37"/>
      <c r="D112" s="34">
        <f>'Полярный пр-зд 5а'!D117</f>
        <v>901</v>
      </c>
      <c r="E112" s="75">
        <f>'Ленина 32-16'!D117</f>
        <v>3412</v>
      </c>
      <c r="F112" s="77">
        <f>'Ленина 34'!D117</f>
        <v>1858</v>
      </c>
      <c r="G112" s="75">
        <f>'Ленина 35-20'!D117</f>
        <v>3186</v>
      </c>
      <c r="H112" s="75">
        <f>'Ленина 35а'!D117</f>
        <v>1544</v>
      </c>
      <c r="I112" s="75">
        <f>'Ленина 36'!D117</f>
        <v>2442</v>
      </c>
      <c r="J112" s="75">
        <f>'Ленина 38-7'!D117</f>
        <v>2423</v>
      </c>
      <c r="K112" s="75">
        <f>'Ленина 39'!D117</f>
        <v>2372</v>
      </c>
      <c r="L112" s="75">
        <f>'Ленина 45'!D117</f>
        <v>6220</v>
      </c>
      <c r="M112" s="75">
        <f>'Ленина 47-12'!D117</f>
        <v>2655</v>
      </c>
      <c r="N112" s="75">
        <f>'Корешкова 6'!D117</f>
        <v>1967</v>
      </c>
      <c r="O112" s="75">
        <f>'Корешкова 8-50'!D117</f>
        <v>1765</v>
      </c>
      <c r="P112" s="75">
        <f>'Первомайская 46а'!D117</f>
        <v>1858</v>
      </c>
      <c r="Q112" s="75">
        <f>'Первомайская 48'!D117</f>
        <v>6470</v>
      </c>
      <c r="R112" s="75">
        <f>'Советская 12-1'!D117</f>
        <v>2568</v>
      </c>
      <c r="S112" s="75">
        <f>'Советская 14'!D117</f>
        <v>8752</v>
      </c>
      <c r="T112" s="75">
        <f>'пр-зд Чернышевского 18а'!D117</f>
        <v>659</v>
      </c>
      <c r="U112" s="75">
        <f t="shared" si="2"/>
        <v>51052</v>
      </c>
    </row>
    <row r="113" spans="1:21" ht="15">
      <c r="A113" s="53"/>
      <c r="B113" s="54"/>
      <c r="C113" s="37"/>
      <c r="D113" s="34">
        <f>'Полярный пр-зд 5а'!D118</f>
        <v>901</v>
      </c>
      <c r="E113" s="75">
        <f>'Ленина 32-16'!D118</f>
        <v>3412</v>
      </c>
      <c r="F113" s="77">
        <f>'Ленина 34'!D118</f>
        <v>1858</v>
      </c>
      <c r="G113" s="75">
        <f>'Ленина 35-20'!D118</f>
        <v>3186</v>
      </c>
      <c r="H113" s="75">
        <f>'Ленина 35а'!D118</f>
        <v>1544</v>
      </c>
      <c r="I113" s="75">
        <f>'Ленина 36'!D118</f>
        <v>2442</v>
      </c>
      <c r="J113" s="75">
        <f>'Ленина 38-7'!D118</f>
        <v>2423</v>
      </c>
      <c r="K113" s="75">
        <f>'Ленина 39'!D118</f>
        <v>2372</v>
      </c>
      <c r="L113" s="75">
        <f>'Ленина 45'!D118</f>
        <v>1174</v>
      </c>
      <c r="M113" s="75">
        <f>'Ленина 47-12'!D118</f>
        <v>2655</v>
      </c>
      <c r="N113" s="75">
        <f>'Корешкова 6'!D118</f>
        <v>1967</v>
      </c>
      <c r="O113" s="75">
        <f>'Корешкова 8-50'!D118</f>
        <v>1765</v>
      </c>
      <c r="P113" s="75">
        <f>'Первомайская 46а'!D118</f>
        <v>1858</v>
      </c>
      <c r="Q113" s="75">
        <f>'Первомайская 48'!D118</f>
        <v>1424</v>
      </c>
      <c r="R113" s="75">
        <f>'Советская 12-1'!D118</f>
        <v>2568</v>
      </c>
      <c r="S113" s="75">
        <f>'Советская 14'!D118</f>
        <v>1423</v>
      </c>
      <c r="T113" s="75">
        <f>'пр-зд Чернышевского 18а'!D118</f>
        <v>659</v>
      </c>
      <c r="U113" s="75">
        <f t="shared" si="2"/>
        <v>33631</v>
      </c>
    </row>
    <row r="114" spans="1:21" ht="15">
      <c r="A114" s="53"/>
      <c r="B114" s="54"/>
      <c r="C114" s="37"/>
      <c r="D114" s="34">
        <f>'Полярный пр-зд 5а'!D119</f>
        <v>0</v>
      </c>
      <c r="E114" s="75">
        <f>'Ленина 32-16'!D119</f>
        <v>0</v>
      </c>
      <c r="F114" s="77">
        <f>'Ленина 34'!D119</f>
        <v>0</v>
      </c>
      <c r="G114" s="75">
        <f>'Ленина 35-20'!D119</f>
        <v>0</v>
      </c>
      <c r="H114" s="75">
        <f>'Ленина 35а'!D119</f>
        <v>0</v>
      </c>
      <c r="I114" s="75">
        <f>'Ленина 36'!D119</f>
        <v>0</v>
      </c>
      <c r="J114" s="75">
        <f>'Ленина 38-7'!D119</f>
        <v>0</v>
      </c>
      <c r="K114" s="75">
        <f>'Ленина 39'!D119</f>
        <v>0</v>
      </c>
      <c r="L114" s="75">
        <f>'Ленина 45'!D119</f>
        <v>5046</v>
      </c>
      <c r="M114" s="75">
        <f>'Ленина 47-12'!D119</f>
        <v>0</v>
      </c>
      <c r="N114" s="75">
        <f>'Корешкова 6'!D119</f>
        <v>0</v>
      </c>
      <c r="O114" s="75">
        <f>'Корешкова 8-50'!D119</f>
        <v>0</v>
      </c>
      <c r="P114" s="75">
        <f>'Первомайская 46а'!D119</f>
        <v>0</v>
      </c>
      <c r="Q114" s="75">
        <f>'Первомайская 48'!D119</f>
        <v>5046</v>
      </c>
      <c r="R114" s="75">
        <f>'Советская 12-1'!D119</f>
        <v>0</v>
      </c>
      <c r="S114" s="75">
        <f>'Советская 14'!D119</f>
        <v>7329</v>
      </c>
      <c r="T114" s="75">
        <f>'пр-зд Чернышевского 18а'!D119</f>
        <v>0</v>
      </c>
      <c r="U114" s="75">
        <f t="shared" si="2"/>
        <v>17421</v>
      </c>
    </row>
    <row r="115" spans="1:21" ht="15">
      <c r="A115" s="53"/>
      <c r="B115" s="54"/>
      <c r="C115" s="37"/>
      <c r="D115" s="34">
        <f>'Полярный пр-зд 5а'!D120</f>
        <v>0</v>
      </c>
      <c r="E115" s="75">
        <f>'Ленина 32-16'!D120</f>
        <v>0</v>
      </c>
      <c r="F115" s="77">
        <f>'Ленина 34'!D120</f>
        <v>0</v>
      </c>
      <c r="G115" s="75">
        <f>'Ленина 35-20'!D120</f>
        <v>0</v>
      </c>
      <c r="H115" s="75">
        <f>'Ленина 35а'!D120</f>
        <v>0</v>
      </c>
      <c r="I115" s="75">
        <f>'Ленина 36'!D120</f>
        <v>0</v>
      </c>
      <c r="J115" s="75">
        <f>'Ленина 38-7'!D120</f>
        <v>0</v>
      </c>
      <c r="K115" s="75">
        <f>'Ленина 39'!D120</f>
        <v>0</v>
      </c>
      <c r="L115" s="75">
        <f>'Ленина 45'!D120</f>
        <v>0</v>
      </c>
      <c r="M115" s="75">
        <f>'Ленина 47-12'!D120</f>
        <v>0</v>
      </c>
      <c r="N115" s="75">
        <f>'Корешкова 6'!D120</f>
        <v>0</v>
      </c>
      <c r="O115" s="75">
        <f>'Корешкова 8-50'!D120</f>
        <v>0</v>
      </c>
      <c r="P115" s="75">
        <f>'Первомайская 46а'!D120</f>
        <v>0</v>
      </c>
      <c r="Q115" s="75">
        <f>'Первомайская 48'!D120</f>
        <v>0</v>
      </c>
      <c r="R115" s="75">
        <f>'Советская 12-1'!D120</f>
        <v>0</v>
      </c>
      <c r="S115" s="75">
        <f>'Советская 14'!D120</f>
        <v>0</v>
      </c>
      <c r="T115" s="75">
        <f>'пр-зд Чернышевского 18а'!D120</f>
        <v>0</v>
      </c>
      <c r="U115" s="75">
        <f t="shared" si="2"/>
        <v>0</v>
      </c>
    </row>
    <row r="116" spans="1:21" ht="15">
      <c r="A116" s="53"/>
      <c r="B116" s="54"/>
      <c r="C116" s="37"/>
      <c r="D116" s="34">
        <f>'Полярный пр-зд 5а'!D121</f>
        <v>0</v>
      </c>
      <c r="E116" s="75">
        <f>'Ленина 32-16'!D121</f>
        <v>0</v>
      </c>
      <c r="F116" s="77">
        <f>'Ленина 34'!D121</f>
        <v>0</v>
      </c>
      <c r="G116" s="75">
        <f>'Ленина 35-20'!D121</f>
        <v>0</v>
      </c>
      <c r="H116" s="75">
        <f>'Ленина 35а'!D121</f>
        <v>0</v>
      </c>
      <c r="I116" s="75">
        <f>'Ленина 36'!D121</f>
        <v>0</v>
      </c>
      <c r="J116" s="75">
        <f>'Ленина 38-7'!D121</f>
        <v>0</v>
      </c>
      <c r="K116" s="75">
        <f>'Ленина 39'!D121</f>
        <v>0</v>
      </c>
      <c r="L116" s="75">
        <f>'Ленина 45'!D121</f>
        <v>0</v>
      </c>
      <c r="M116" s="75">
        <f>'Ленина 47-12'!D121</f>
        <v>0</v>
      </c>
      <c r="N116" s="75">
        <f>'Корешкова 6'!D121</f>
        <v>0</v>
      </c>
      <c r="O116" s="75">
        <f>'Корешкова 8-50'!D121</f>
        <v>0</v>
      </c>
      <c r="P116" s="75">
        <f>'Первомайская 46а'!D121</f>
        <v>0</v>
      </c>
      <c r="Q116" s="75">
        <f>'Первомайская 48'!D121</f>
        <v>0</v>
      </c>
      <c r="R116" s="75">
        <f>'Советская 12-1'!D121</f>
        <v>0</v>
      </c>
      <c r="S116" s="75">
        <f>'Советская 14'!D121</f>
        <v>0</v>
      </c>
      <c r="T116" s="75">
        <f>'пр-зд Чернышевского 18а'!D121</f>
        <v>0</v>
      </c>
      <c r="U116" s="75">
        <f t="shared" si="2"/>
        <v>0</v>
      </c>
    </row>
    <row r="117" spans="1:21" ht="15">
      <c r="A117" s="53"/>
      <c r="B117" s="54"/>
      <c r="C117" s="37"/>
      <c r="D117" s="34">
        <f>'Полярный пр-зд 5а'!D122</f>
        <v>0</v>
      </c>
      <c r="E117" s="75">
        <f>'Ленина 32-16'!D122</f>
        <v>0</v>
      </c>
      <c r="F117" s="77">
        <f>'Ленина 34'!D122</f>
        <v>0</v>
      </c>
      <c r="G117" s="75">
        <f>'Ленина 35-20'!D122</f>
        <v>0</v>
      </c>
      <c r="H117" s="75">
        <f>'Ленина 35а'!D122</f>
        <v>0</v>
      </c>
      <c r="I117" s="75">
        <f>'Ленина 36'!D122</f>
        <v>0</v>
      </c>
      <c r="J117" s="75">
        <f>'Ленина 38-7'!D122</f>
        <v>0</v>
      </c>
      <c r="K117" s="75">
        <f>'Ленина 39'!D122</f>
        <v>0</v>
      </c>
      <c r="L117" s="75">
        <f>'Ленина 45'!D122</f>
        <v>0</v>
      </c>
      <c r="M117" s="75">
        <f>'Ленина 47-12'!D122</f>
        <v>0</v>
      </c>
      <c r="N117" s="75">
        <f>'Корешкова 6'!D122</f>
        <v>0</v>
      </c>
      <c r="O117" s="75">
        <f>'Корешкова 8-50'!D122</f>
        <v>0</v>
      </c>
      <c r="P117" s="75">
        <f>'Первомайская 46а'!D122</f>
        <v>0</v>
      </c>
      <c r="Q117" s="75">
        <f>'Первомайская 48'!D122</f>
        <v>0</v>
      </c>
      <c r="R117" s="75">
        <f>'Советская 12-1'!D122</f>
        <v>0</v>
      </c>
      <c r="S117" s="75">
        <f>'Советская 14'!D122</f>
        <v>0</v>
      </c>
      <c r="T117" s="75">
        <f>'пр-зд Чернышевского 18а'!D122</f>
        <v>0</v>
      </c>
      <c r="U117" s="75">
        <f t="shared" si="2"/>
        <v>0</v>
      </c>
    </row>
    <row r="118" spans="1:21" ht="15">
      <c r="A118" s="53"/>
      <c r="B118" s="54"/>
      <c r="C118" s="37"/>
      <c r="D118" s="34">
        <f>'Полярный пр-зд 5а'!D123</f>
        <v>0</v>
      </c>
      <c r="E118" s="75">
        <f>'Ленина 32-16'!D123</f>
        <v>0</v>
      </c>
      <c r="F118" s="77">
        <f>'Ленина 34'!D123</f>
        <v>0</v>
      </c>
      <c r="G118" s="75">
        <f>'Ленина 35-20'!D123</f>
        <v>0</v>
      </c>
      <c r="H118" s="75">
        <f>'Ленина 35а'!D123</f>
        <v>0</v>
      </c>
      <c r="I118" s="75">
        <f>'Ленина 36'!D123</f>
        <v>0</v>
      </c>
      <c r="J118" s="75">
        <f>'Ленина 38-7'!D123</f>
        <v>0</v>
      </c>
      <c r="K118" s="75">
        <f>'Ленина 39'!D123</f>
        <v>0</v>
      </c>
      <c r="L118" s="75">
        <f>'Ленина 45'!D123</f>
        <v>0</v>
      </c>
      <c r="M118" s="75">
        <f>'Ленина 47-12'!D123</f>
        <v>0</v>
      </c>
      <c r="N118" s="75">
        <f>'Корешкова 6'!D123</f>
        <v>0</v>
      </c>
      <c r="O118" s="75">
        <f>'Корешкова 8-50'!D123</f>
        <v>0</v>
      </c>
      <c r="P118" s="75">
        <f>'Первомайская 46а'!D123</f>
        <v>0</v>
      </c>
      <c r="Q118" s="75">
        <f>'Первомайская 48'!D123</f>
        <v>0</v>
      </c>
      <c r="R118" s="75">
        <f>'Советская 12-1'!D123</f>
        <v>0</v>
      </c>
      <c r="S118" s="75">
        <f>'Советская 14'!D123</f>
        <v>0</v>
      </c>
      <c r="T118" s="75">
        <f>'пр-зд Чернышевского 18а'!D123</f>
        <v>0</v>
      </c>
      <c r="U118" s="75">
        <f t="shared" si="2"/>
        <v>0</v>
      </c>
    </row>
    <row r="119" spans="1:21" ht="15">
      <c r="A119" s="53" t="s">
        <v>7</v>
      </c>
      <c r="B119" s="54" t="s">
        <v>169</v>
      </c>
      <c r="C119" s="37"/>
      <c r="D119" s="34">
        <f>'Полярный пр-зд 5а'!D124</f>
        <v>17113</v>
      </c>
      <c r="E119" s="75">
        <f>'Ленина 32-16'!D124</f>
        <v>64832</v>
      </c>
      <c r="F119" s="77">
        <f>'Ленина 34'!D124</f>
        <v>35291</v>
      </c>
      <c r="G119" s="75">
        <f>'Ленина 35-20'!D124</f>
        <v>60535</v>
      </c>
      <c r="H119" s="75">
        <f>'Ленина 35а'!D124</f>
        <v>29341</v>
      </c>
      <c r="I119" s="75">
        <f>'Ленина 36'!D124</f>
        <v>46389</v>
      </c>
      <c r="J119" s="75">
        <f>'Ленина 38-7'!D124</f>
        <v>46032</v>
      </c>
      <c r="K119" s="75">
        <f>'Ленина 39'!D124</f>
        <v>45062</v>
      </c>
      <c r="L119" s="75">
        <f>'Ленина 45'!D124</f>
        <v>22298</v>
      </c>
      <c r="M119" s="75">
        <f>'Ленина 47-12'!D124</f>
        <v>50434</v>
      </c>
      <c r="N119" s="75">
        <f>'Корешкова 6'!D124</f>
        <v>37366</v>
      </c>
      <c r="O119" s="75">
        <f>'Корешкова 8-50'!D124</f>
        <v>33539</v>
      </c>
      <c r="P119" s="75">
        <f>'Первомайская 46а'!D124</f>
        <v>35296</v>
      </c>
      <c r="Q119" s="75">
        <f>'Первомайская 48'!D124</f>
        <v>27050</v>
      </c>
      <c r="R119" s="75">
        <f>'Советская 12-1'!D124</f>
        <v>48782</v>
      </c>
      <c r="S119" s="75">
        <f>'Советская 14'!D124</f>
        <v>27044</v>
      </c>
      <c r="T119" s="75">
        <f>'пр-зд Чернышевского 18а'!D124</f>
        <v>12511</v>
      </c>
      <c r="U119" s="75">
        <f t="shared" si="2"/>
        <v>638915</v>
      </c>
    </row>
    <row r="120" spans="1:21" ht="15">
      <c r="A120" s="53" t="s">
        <v>7</v>
      </c>
      <c r="B120" s="54" t="s">
        <v>170</v>
      </c>
      <c r="C120" s="37"/>
      <c r="D120" s="34">
        <f>'Полярный пр-зд 5а'!D125</f>
        <v>53960.56999999999</v>
      </c>
      <c r="E120" s="75">
        <f>'Ленина 32-16'!D125</f>
        <v>3775.43</v>
      </c>
      <c r="F120" s="77">
        <f>'Ленина 34'!D125</f>
        <v>88361.54999999999</v>
      </c>
      <c r="G120" s="75">
        <f>'Ленина 35-20'!D125</f>
        <v>251946.62</v>
      </c>
      <c r="H120" s="75">
        <f>'Ленина 35а'!D125</f>
        <v>55019.799999999996</v>
      </c>
      <c r="I120" s="75">
        <f>'Ленина 36'!D125</f>
        <v>156927.4</v>
      </c>
      <c r="J120" s="75">
        <f>'Ленина 38-7'!D125</f>
        <v>212422.37999999998</v>
      </c>
      <c r="K120" s="75">
        <f>'Ленина 39'!D125</f>
        <v>169641.14</v>
      </c>
      <c r="L120" s="75">
        <f>'Ленина 45'!D125</f>
        <v>136226.74</v>
      </c>
      <c r="M120" s="75">
        <f>'Ленина 47-12'!D125</f>
        <v>376233.45</v>
      </c>
      <c r="N120" s="75">
        <f>'Корешкова 6'!D125</f>
        <v>259811.35</v>
      </c>
      <c r="O120" s="75">
        <f>'Корешкова 8-50'!D125</f>
        <v>206559.11000000002</v>
      </c>
      <c r="P120" s="75">
        <f>'Первомайская 46а'!D125</f>
        <v>75535.87</v>
      </c>
      <c r="Q120" s="75">
        <f>'Первомайская 48'!D125</f>
        <v>70670.68</v>
      </c>
      <c r="R120" s="75">
        <f>'Советская 12-1'!D125</f>
        <v>119752.02</v>
      </c>
      <c r="S120" s="75">
        <f>'Советская 14'!D125</f>
        <v>0</v>
      </c>
      <c r="T120" s="75">
        <f>'пр-зд Чернышевского 18а'!D125</f>
        <v>0</v>
      </c>
      <c r="U120" s="75">
        <f t="shared" si="2"/>
        <v>2236844.1100000003</v>
      </c>
    </row>
    <row r="121" spans="1:21" ht="15">
      <c r="A121" s="53"/>
      <c r="B121" s="54"/>
      <c r="C121" s="37"/>
      <c r="D121" s="34">
        <f>'Полярный пр-зд 5а'!D126</f>
        <v>11135.48</v>
      </c>
      <c r="E121" s="75">
        <f>'Ленина 32-16'!D126</f>
        <v>3775.43</v>
      </c>
      <c r="F121" s="77">
        <f>'Ленина 34'!D126</f>
        <v>65574.65</v>
      </c>
      <c r="G121" s="75">
        <f>'Ленина 35-20'!D126</f>
        <v>40748.35</v>
      </c>
      <c r="H121" s="75">
        <f>'Ленина 35а'!D126</f>
        <v>21098</v>
      </c>
      <c r="I121" s="75">
        <f>'Ленина 36'!D126</f>
        <v>43939</v>
      </c>
      <c r="J121" s="75">
        <f>'Ленина 38-7'!D126</f>
        <v>7303.74</v>
      </c>
      <c r="K121" s="75">
        <f>'Ленина 39'!D126</f>
        <v>110128.32</v>
      </c>
      <c r="L121" s="75">
        <f>'Ленина 45'!D126</f>
        <v>101017.31</v>
      </c>
      <c r="M121" s="75">
        <f>'Ленина 47-12'!D126</f>
        <v>77086</v>
      </c>
      <c r="N121" s="75">
        <f>'Корешкова 6'!D126</f>
        <v>74927</v>
      </c>
      <c r="O121" s="75">
        <f>'Корешкова 8-50'!D126</f>
        <v>5510.66</v>
      </c>
      <c r="P121" s="75">
        <f>'Первомайская 46а'!D126</f>
        <v>6168.67</v>
      </c>
      <c r="Q121" s="75">
        <f>'Первомайская 48'!D126</f>
        <v>13795.83</v>
      </c>
      <c r="R121" s="75">
        <f>'Советская 12-1'!D126</f>
        <v>10586.11</v>
      </c>
      <c r="S121" s="75">
        <f>'Советская 14'!D126</f>
        <v>0</v>
      </c>
      <c r="T121" s="75">
        <f>'пр-зд Чернышевского 18а'!D126</f>
        <v>0</v>
      </c>
      <c r="U121" s="75">
        <f t="shared" si="2"/>
        <v>592794.55</v>
      </c>
    </row>
    <row r="122" spans="1:21" ht="15">
      <c r="A122" s="53"/>
      <c r="B122" s="54"/>
      <c r="C122" s="37"/>
      <c r="D122" s="34">
        <f>'Полярный пр-зд 5а'!D127</f>
        <v>42825.09</v>
      </c>
      <c r="E122" s="75">
        <f>'Ленина 32-16'!D127</f>
        <v>0</v>
      </c>
      <c r="F122" s="77">
        <f>'Ленина 34'!D127</f>
        <v>22786.9</v>
      </c>
      <c r="G122" s="75">
        <f>'Ленина 35-20'!D127</f>
        <v>5129.2</v>
      </c>
      <c r="H122" s="75">
        <f>'Ленина 35а'!D127</f>
        <v>24360.26</v>
      </c>
      <c r="I122" s="75">
        <f>'Ленина 36'!D127</f>
        <v>21215.67</v>
      </c>
      <c r="J122" s="75">
        <f>'Ленина 38-7'!D127</f>
        <v>175531.86</v>
      </c>
      <c r="K122" s="75">
        <f>'Ленина 39'!D127</f>
        <v>7027.88</v>
      </c>
      <c r="L122" s="75">
        <f>'Ленина 45'!D127</f>
        <v>35209.43</v>
      </c>
      <c r="M122" s="75">
        <f>'Ленина 47-12'!D127</f>
        <v>13747.42</v>
      </c>
      <c r="N122" s="75">
        <f>'Корешкова 6'!D127</f>
        <v>159630.06</v>
      </c>
      <c r="O122" s="75">
        <f>'Корешкова 8-50'!D127</f>
        <v>201048.45</v>
      </c>
      <c r="P122" s="75">
        <f>'Первомайская 46а'!D127</f>
        <v>69367.2</v>
      </c>
      <c r="Q122" s="75">
        <f>'Первомайская 48'!D127</f>
        <v>16810</v>
      </c>
      <c r="R122" s="75">
        <f>'Советская 12-1'!D127</f>
        <v>86547.36</v>
      </c>
      <c r="S122" s="75">
        <f>'Советская 14'!D127</f>
        <v>0</v>
      </c>
      <c r="T122" s="75">
        <f>'пр-зд Чернышевского 18а'!D127</f>
        <v>0</v>
      </c>
      <c r="U122" s="75">
        <f t="shared" si="2"/>
        <v>881236.7799999999</v>
      </c>
    </row>
    <row r="123" spans="1:21" ht="15">
      <c r="A123" s="53"/>
      <c r="B123" s="54"/>
      <c r="C123" s="37"/>
      <c r="D123" s="34">
        <f>'Полярный пр-зд 5а'!D128</f>
        <v>0</v>
      </c>
      <c r="E123" s="75">
        <f>'Ленина 32-16'!D128</f>
        <v>0</v>
      </c>
      <c r="F123" s="77">
        <f>'Ленина 34'!D128</f>
        <v>0</v>
      </c>
      <c r="G123" s="75">
        <f>'Ленина 35-20'!D128</f>
        <v>206069.07</v>
      </c>
      <c r="H123" s="75">
        <f>'Ленина 35а'!D128</f>
        <v>9561.54</v>
      </c>
      <c r="I123" s="75">
        <f>'Ленина 36'!D128</f>
        <v>15976.22</v>
      </c>
      <c r="J123" s="75">
        <f>'Ленина 38-7'!D128</f>
        <v>29586.78</v>
      </c>
      <c r="K123" s="75">
        <f>'Ленина 39'!D128</f>
        <v>52484.94</v>
      </c>
      <c r="L123" s="75">
        <f>'Ленина 45'!D128</f>
        <v>0</v>
      </c>
      <c r="M123" s="75">
        <f>'Ленина 47-12'!D128</f>
        <v>124980.69</v>
      </c>
      <c r="N123" s="75">
        <f>'Корешкова 6'!D128</f>
        <v>25254.29</v>
      </c>
      <c r="O123" s="75">
        <f>'Корешкова 8-50'!D128</f>
        <v>0</v>
      </c>
      <c r="P123" s="75">
        <f>'Первомайская 46а'!D128</f>
        <v>0</v>
      </c>
      <c r="Q123" s="75">
        <f>'Первомайская 48'!D128</f>
        <v>40064.85</v>
      </c>
      <c r="R123" s="75">
        <f>'Советская 12-1'!D128</f>
        <v>22618.55</v>
      </c>
      <c r="S123" s="75">
        <f>'Советская 14'!D128</f>
        <v>0</v>
      </c>
      <c r="T123" s="75">
        <f>'пр-зд Чернышевского 18а'!D128</f>
        <v>0</v>
      </c>
      <c r="U123" s="75">
        <f t="shared" si="2"/>
        <v>526596.93</v>
      </c>
    </row>
    <row r="124" spans="1:21" ht="15">
      <c r="A124" s="53"/>
      <c r="B124" s="54"/>
      <c r="C124" s="37"/>
      <c r="D124" s="34">
        <f>'Полярный пр-зд 5а'!D129</f>
        <v>0</v>
      </c>
      <c r="E124" s="75">
        <f>'Ленина 32-16'!D129</f>
        <v>0</v>
      </c>
      <c r="F124" s="77">
        <f>'Ленина 34'!D129</f>
        <v>0</v>
      </c>
      <c r="G124" s="75">
        <f>'Ленина 35-20'!D129</f>
        <v>0</v>
      </c>
      <c r="H124" s="75">
        <f>'Ленина 35а'!D129</f>
        <v>0</v>
      </c>
      <c r="I124" s="75">
        <f>'Ленина 36'!D129</f>
        <v>75796.51</v>
      </c>
      <c r="J124" s="75">
        <f>'Ленина 38-7'!D129</f>
        <v>0</v>
      </c>
      <c r="K124" s="75">
        <f>'Ленина 39'!D129</f>
        <v>0</v>
      </c>
      <c r="L124" s="75">
        <f>'Ленина 45'!D129</f>
        <v>0</v>
      </c>
      <c r="M124" s="75">
        <f>'Ленина 47-12'!D129</f>
        <v>121756.73</v>
      </c>
      <c r="N124" s="75">
        <f>'Корешкова 6'!D129</f>
        <v>0</v>
      </c>
      <c r="O124" s="75">
        <f>'Корешкова 8-50'!D129</f>
        <v>0</v>
      </c>
      <c r="P124" s="75">
        <f>'Первомайская 46а'!D129</f>
        <v>0</v>
      </c>
      <c r="Q124" s="75">
        <f>'Первомайская 48'!D129</f>
        <v>0</v>
      </c>
      <c r="R124" s="75">
        <f>'Советская 12-1'!D129</f>
        <v>0</v>
      </c>
      <c r="S124" s="75">
        <f>'Советская 14'!D129</f>
        <v>0</v>
      </c>
      <c r="T124" s="75">
        <f>'пр-зд Чернышевского 18а'!D129</f>
        <v>0</v>
      </c>
      <c r="U124" s="75">
        <f t="shared" si="2"/>
        <v>197553.24</v>
      </c>
    </row>
    <row r="125" spans="1:21" ht="15">
      <c r="A125" s="53"/>
      <c r="B125" s="54"/>
      <c r="C125" s="37"/>
      <c r="D125" s="34">
        <f>'Полярный пр-зд 5а'!D130</f>
        <v>0</v>
      </c>
      <c r="E125" s="75">
        <f>'Ленина 32-16'!D130</f>
        <v>0</v>
      </c>
      <c r="F125" s="77">
        <f>'Ленина 34'!D130</f>
        <v>0</v>
      </c>
      <c r="G125" s="75">
        <f>'Ленина 35-20'!D130</f>
        <v>0</v>
      </c>
      <c r="H125" s="75">
        <f>'Ленина 35а'!D130</f>
        <v>0</v>
      </c>
      <c r="I125" s="75">
        <f>'Ленина 36'!D130</f>
        <v>0</v>
      </c>
      <c r="J125" s="75">
        <f>'Ленина 38-7'!D130</f>
        <v>0</v>
      </c>
      <c r="K125" s="75">
        <f>'Ленина 39'!D130</f>
        <v>0</v>
      </c>
      <c r="L125" s="75">
        <f>'Ленина 45'!D130</f>
        <v>0</v>
      </c>
      <c r="M125" s="75">
        <f>'Ленина 47-12'!D130</f>
        <v>25462.58</v>
      </c>
      <c r="N125" s="75">
        <f>'Корешкова 6'!D130</f>
        <v>0</v>
      </c>
      <c r="O125" s="75">
        <f>'Корешкова 8-50'!D130</f>
        <v>0</v>
      </c>
      <c r="P125" s="75">
        <f>'Первомайская 46а'!D130</f>
        <v>0</v>
      </c>
      <c r="Q125" s="75">
        <f>'Первомайская 48'!D130</f>
        <v>0</v>
      </c>
      <c r="R125" s="75">
        <f>'Советская 12-1'!D130</f>
        <v>0</v>
      </c>
      <c r="S125" s="75">
        <f>'Советская 14'!D130</f>
        <v>0</v>
      </c>
      <c r="T125" s="75">
        <f>'пр-зд Чернышевского 18а'!D130</f>
        <v>0</v>
      </c>
      <c r="U125" s="75">
        <f t="shared" si="2"/>
        <v>25462.58</v>
      </c>
    </row>
    <row r="126" spans="1:21" ht="15">
      <c r="A126" s="53"/>
      <c r="B126" s="54"/>
      <c r="C126" s="37"/>
      <c r="D126" s="34">
        <f>'Полярный пр-зд 5а'!D131</f>
        <v>0</v>
      </c>
      <c r="E126" s="75">
        <f>'Ленина 32-16'!D131</f>
        <v>0</v>
      </c>
      <c r="F126" s="77">
        <f>'Ленина 34'!D131</f>
        <v>0</v>
      </c>
      <c r="G126" s="75">
        <f>'Ленина 35-20'!D131</f>
        <v>0</v>
      </c>
      <c r="H126" s="75">
        <f>'Ленина 35а'!D131</f>
        <v>0</v>
      </c>
      <c r="I126" s="75">
        <f>'Ленина 36'!D131</f>
        <v>0</v>
      </c>
      <c r="J126" s="75">
        <f>'Ленина 38-7'!D131</f>
        <v>0</v>
      </c>
      <c r="K126" s="75">
        <f>'Ленина 39'!D131</f>
        <v>0</v>
      </c>
      <c r="L126" s="75">
        <f>'Ленина 45'!D131</f>
        <v>0</v>
      </c>
      <c r="M126" s="75">
        <f>'Ленина 47-12'!D131</f>
        <v>13200.03</v>
      </c>
      <c r="N126" s="75">
        <f>'Корешкова 6'!D131</f>
        <v>0</v>
      </c>
      <c r="O126" s="75">
        <f>'Корешкова 8-50'!D131</f>
        <v>0</v>
      </c>
      <c r="P126" s="75">
        <f>'Первомайская 46а'!D131</f>
        <v>0</v>
      </c>
      <c r="Q126" s="75">
        <f>'Первомайская 48'!D131</f>
        <v>0</v>
      </c>
      <c r="R126" s="75">
        <f>'Советская 12-1'!D131</f>
        <v>0</v>
      </c>
      <c r="S126" s="75">
        <f>'Советская 14'!D131</f>
        <v>0</v>
      </c>
      <c r="T126" s="75">
        <f>'пр-зд Чернышевского 18а'!D131</f>
        <v>0</v>
      </c>
      <c r="U126" s="75">
        <f t="shared" si="2"/>
        <v>13200.03</v>
      </c>
    </row>
    <row r="127" spans="1:21" ht="15">
      <c r="A127" s="53"/>
      <c r="B127" s="54"/>
      <c r="C127" s="37"/>
      <c r="D127" s="34">
        <f>'Полярный пр-зд 5а'!D132</f>
        <v>0</v>
      </c>
      <c r="E127" s="75">
        <f>'Ленина 32-16'!D132</f>
        <v>0</v>
      </c>
      <c r="F127" s="77">
        <f>'Ленина 34'!D132</f>
        <v>0</v>
      </c>
      <c r="G127" s="75">
        <f>'Ленина 35-20'!D132</f>
        <v>0</v>
      </c>
      <c r="H127" s="75">
        <f>'Ленина 35а'!D132</f>
        <v>0</v>
      </c>
      <c r="I127" s="75">
        <f>'Ленина 36'!D132</f>
        <v>0</v>
      </c>
      <c r="J127" s="75">
        <f>'Ленина 38-7'!D132</f>
        <v>0</v>
      </c>
      <c r="K127" s="75">
        <f>'Ленина 39'!D132</f>
        <v>0</v>
      </c>
      <c r="L127" s="75">
        <f>'Ленина 45'!D132</f>
        <v>0</v>
      </c>
      <c r="M127" s="75">
        <f>'Ленина 47-12'!D132</f>
        <v>0</v>
      </c>
      <c r="N127" s="75">
        <f>'Корешкова 6'!D132</f>
        <v>0</v>
      </c>
      <c r="O127" s="75">
        <f>'Корешкова 8-50'!D132</f>
        <v>0</v>
      </c>
      <c r="P127" s="75">
        <f>'Первомайская 46а'!D132</f>
        <v>0</v>
      </c>
      <c r="Q127" s="75">
        <f>'Первомайская 48'!D132</f>
        <v>0</v>
      </c>
      <c r="R127" s="75">
        <f>'Советская 12-1'!D132</f>
        <v>0</v>
      </c>
      <c r="S127" s="75">
        <f>'Советская 14'!D132</f>
        <v>0</v>
      </c>
      <c r="T127" s="75">
        <f>'пр-зд Чернышевского 18а'!D132</f>
        <v>0</v>
      </c>
      <c r="U127" s="75">
        <f t="shared" si="2"/>
        <v>0</v>
      </c>
    </row>
    <row r="128" spans="1:21" ht="15">
      <c r="A128" s="53"/>
      <c r="B128" s="54"/>
      <c r="C128" s="37"/>
      <c r="D128" s="34">
        <f>'Полярный пр-зд 5а'!D133</f>
        <v>0</v>
      </c>
      <c r="E128" s="75">
        <f>'Ленина 32-16'!D133</f>
        <v>0</v>
      </c>
      <c r="F128" s="77">
        <f>'Ленина 34'!D133</f>
        <v>0</v>
      </c>
      <c r="G128" s="75">
        <f>'Ленина 35-20'!D133</f>
        <v>0</v>
      </c>
      <c r="H128" s="75">
        <f>'Ленина 35а'!D133</f>
        <v>0</v>
      </c>
      <c r="I128" s="75">
        <f>'Ленина 36'!D133</f>
        <v>0</v>
      </c>
      <c r="J128" s="75">
        <f>'Ленина 38-7'!D133</f>
        <v>0</v>
      </c>
      <c r="K128" s="75">
        <f>'Ленина 39'!D133</f>
        <v>0</v>
      </c>
      <c r="L128" s="75">
        <f>'Ленина 45'!D133</f>
        <v>0</v>
      </c>
      <c r="M128" s="75">
        <f>'Ленина 47-12'!D133</f>
        <v>0</v>
      </c>
      <c r="N128" s="75">
        <f>'Корешкова 6'!D133</f>
        <v>0</v>
      </c>
      <c r="O128" s="75">
        <f>'Корешкова 8-50'!D133</f>
        <v>0</v>
      </c>
      <c r="P128" s="75">
        <f>'Первомайская 46а'!D133</f>
        <v>0</v>
      </c>
      <c r="Q128" s="75">
        <f>'Первомайская 48'!D133</f>
        <v>0</v>
      </c>
      <c r="R128" s="75">
        <f>'Советская 12-1'!D133</f>
        <v>0</v>
      </c>
      <c r="S128" s="75">
        <f>'Советская 14'!D133</f>
        <v>0</v>
      </c>
      <c r="T128" s="75">
        <f>'пр-зд Чернышевского 18а'!D133</f>
        <v>0</v>
      </c>
      <c r="U128" s="75">
        <f t="shared" si="2"/>
        <v>0</v>
      </c>
    </row>
    <row r="129" spans="1:21" ht="15">
      <c r="A129" s="53"/>
      <c r="B129" s="54"/>
      <c r="C129" s="37"/>
      <c r="D129" s="34">
        <f>'Полярный пр-зд 5а'!D134</f>
        <v>0</v>
      </c>
      <c r="E129" s="75">
        <f>'Ленина 32-16'!D134</f>
        <v>0</v>
      </c>
      <c r="F129" s="77">
        <f>'Ленина 34'!D134</f>
        <v>0</v>
      </c>
      <c r="G129" s="75">
        <f>'Ленина 35-20'!D134</f>
        <v>0</v>
      </c>
      <c r="H129" s="75">
        <f>'Ленина 35а'!D134</f>
        <v>0</v>
      </c>
      <c r="I129" s="75">
        <f>'Ленина 36'!D134</f>
        <v>0</v>
      </c>
      <c r="J129" s="75">
        <f>'Ленина 38-7'!D134</f>
        <v>0</v>
      </c>
      <c r="K129" s="75">
        <f>'Ленина 39'!D134</f>
        <v>0</v>
      </c>
      <c r="L129" s="75">
        <f>'Ленина 45'!D134</f>
        <v>0</v>
      </c>
      <c r="M129" s="75">
        <f>'Ленина 47-12'!D134</f>
        <v>0</v>
      </c>
      <c r="N129" s="75">
        <f>'Корешкова 6'!D134</f>
        <v>0</v>
      </c>
      <c r="O129" s="75">
        <f>'Корешкова 8-50'!D134</f>
        <v>0</v>
      </c>
      <c r="P129" s="75">
        <f>'Первомайская 46а'!D134</f>
        <v>0</v>
      </c>
      <c r="Q129" s="75">
        <f>'Первомайская 48'!D134</f>
        <v>0</v>
      </c>
      <c r="R129" s="75">
        <f>'Советская 12-1'!D134</f>
        <v>0</v>
      </c>
      <c r="S129" s="75">
        <f>'Советская 14'!D134</f>
        <v>0</v>
      </c>
      <c r="T129" s="75">
        <f>'пр-зд Чернышевского 18а'!D134</f>
        <v>0</v>
      </c>
      <c r="U129" s="75">
        <f t="shared" si="2"/>
        <v>0</v>
      </c>
    </row>
    <row r="130" spans="1:21" ht="15">
      <c r="A130" s="53"/>
      <c r="B130" s="54"/>
      <c r="C130" s="37"/>
      <c r="D130" s="34">
        <f>'Полярный пр-зд 5а'!D135</f>
        <v>0</v>
      </c>
      <c r="E130" s="75">
        <f>'Ленина 32-16'!D135</f>
        <v>0</v>
      </c>
      <c r="F130" s="77">
        <f>'Ленина 34'!D135</f>
        <v>0</v>
      </c>
      <c r="G130" s="75">
        <f>'Ленина 35-20'!D135</f>
        <v>0</v>
      </c>
      <c r="H130" s="75">
        <f>'Ленина 35а'!D135</f>
        <v>0</v>
      </c>
      <c r="I130" s="75">
        <f>'Ленина 36'!D135</f>
        <v>0</v>
      </c>
      <c r="J130" s="75">
        <f>'Ленина 38-7'!D135</f>
        <v>0</v>
      </c>
      <c r="K130" s="75">
        <f>'Ленина 39'!D135</f>
        <v>0</v>
      </c>
      <c r="L130" s="75">
        <f>'Ленина 45'!D135</f>
        <v>0</v>
      </c>
      <c r="M130" s="75">
        <f>'Ленина 47-12'!D135</f>
        <v>0</v>
      </c>
      <c r="N130" s="75">
        <f>'Корешкова 6'!D135</f>
        <v>0</v>
      </c>
      <c r="O130" s="75">
        <f>'Корешкова 8-50'!D135</f>
        <v>0</v>
      </c>
      <c r="P130" s="75">
        <f>'Первомайская 46а'!D135</f>
        <v>0</v>
      </c>
      <c r="Q130" s="75">
        <f>'Первомайская 48'!D135</f>
        <v>0</v>
      </c>
      <c r="R130" s="75">
        <f>'Советская 12-1'!D135</f>
        <v>0</v>
      </c>
      <c r="S130" s="75">
        <f>'Советская 14'!D135</f>
        <v>0</v>
      </c>
      <c r="T130" s="75">
        <f>'пр-зд Чернышевского 18а'!D135</f>
        <v>0</v>
      </c>
      <c r="U130" s="75">
        <f t="shared" si="2"/>
        <v>0</v>
      </c>
    </row>
    <row r="131" spans="1:21" ht="15">
      <c r="A131" s="53" t="s">
        <v>7</v>
      </c>
      <c r="B131" s="55" t="s">
        <v>171</v>
      </c>
      <c r="C131" s="37"/>
      <c r="D131" s="34">
        <f>'Полярный пр-зд 5а'!D136</f>
        <v>9959</v>
      </c>
      <c r="E131" s="75">
        <f>'Ленина 32-16'!D136</f>
        <v>37728</v>
      </c>
      <c r="F131" s="77">
        <f>'Ленина 34'!D136</f>
        <v>20536</v>
      </c>
      <c r="G131" s="75">
        <f>'Ленина 35-20'!D136</f>
        <v>35227</v>
      </c>
      <c r="H131" s="75">
        <f>'Ленина 35а'!D136</f>
        <v>17073</v>
      </c>
      <c r="I131" s="75">
        <f>'Ленина 36'!D136</f>
        <v>26995</v>
      </c>
      <c r="J131" s="75">
        <f>'Ленина 38-7'!D136</f>
        <v>26786</v>
      </c>
      <c r="K131" s="75">
        <f>'Ленина 39'!D136</f>
        <v>26222</v>
      </c>
      <c r="L131" s="75">
        <f>'Ленина 45'!D136</f>
        <v>12982</v>
      </c>
      <c r="M131" s="75">
        <f>'Ленина 47-12'!D136</f>
        <v>29348</v>
      </c>
      <c r="N131" s="75">
        <f>'Корешкова 6'!D136</f>
        <v>21744</v>
      </c>
      <c r="O131" s="75">
        <f>'Корешкова 8-50'!D136</f>
        <v>19517</v>
      </c>
      <c r="P131" s="75">
        <f>'Первомайская 46а'!D136</f>
        <v>20539</v>
      </c>
      <c r="Q131" s="75">
        <f>'Первомайская 48'!D136</f>
        <v>15740</v>
      </c>
      <c r="R131" s="75">
        <f>'Советская 12-1'!D136</f>
        <v>28386</v>
      </c>
      <c r="S131" s="75">
        <f>'Советская 14'!D136</f>
        <v>15736</v>
      </c>
      <c r="T131" s="75">
        <f>'пр-зд Чернышевского 18а'!D136</f>
        <v>7280</v>
      </c>
      <c r="U131" s="75">
        <f t="shared" si="2"/>
        <v>371798</v>
      </c>
    </row>
    <row r="132" spans="1:21" ht="15">
      <c r="A132" s="53"/>
      <c r="B132" s="56" t="s">
        <v>172</v>
      </c>
      <c r="C132" s="37"/>
      <c r="D132" s="34">
        <f>'Полярный пр-зд 5а'!D137</f>
        <v>1234</v>
      </c>
      <c r="E132" s="75">
        <f>'Ленина 32-16'!D137</f>
        <v>4674</v>
      </c>
      <c r="F132" s="77">
        <f>'Ленина 34'!D137</f>
        <v>2544</v>
      </c>
      <c r="G132" s="75">
        <f>'Ленина 35-20'!D137</f>
        <v>4365</v>
      </c>
      <c r="H132" s="75">
        <f>'Ленина 35а'!D137</f>
        <v>2115</v>
      </c>
      <c r="I132" s="75">
        <f>'Ленина 36'!D137</f>
        <v>3345</v>
      </c>
      <c r="J132" s="75">
        <f>'Ленина 38-7'!D137</f>
        <v>3319</v>
      </c>
      <c r="K132" s="75">
        <f>'Ленина 39'!D137</f>
        <v>3249</v>
      </c>
      <c r="L132" s="75">
        <f>'Ленина 45'!D137</f>
        <v>1608</v>
      </c>
      <c r="M132" s="75">
        <f>'Ленина 47-12'!D137</f>
        <v>3636</v>
      </c>
      <c r="N132" s="75">
        <f>'Корешкова 6'!D137</f>
        <v>2694</v>
      </c>
      <c r="O132" s="75">
        <f>'Корешкова 8-50'!D137</f>
        <v>2418</v>
      </c>
      <c r="P132" s="75">
        <f>'Первомайская 46а'!D137</f>
        <v>2545</v>
      </c>
      <c r="Q132" s="75">
        <f>'Первомайская 48'!D137</f>
        <v>1950</v>
      </c>
      <c r="R132" s="75">
        <f>'Советская 12-1'!D137</f>
        <v>3517</v>
      </c>
      <c r="S132" s="75">
        <f>'Советская 14'!D137</f>
        <v>1950</v>
      </c>
      <c r="T132" s="75">
        <f>'пр-зд Чернышевского 18а'!D137</f>
        <v>902</v>
      </c>
      <c r="U132" s="75">
        <f t="shared" si="2"/>
        <v>46065</v>
      </c>
    </row>
    <row r="133" spans="1:21" ht="15">
      <c r="A133" s="53"/>
      <c r="B133" s="56" t="s">
        <v>173</v>
      </c>
      <c r="C133" s="37"/>
      <c r="D133" s="34">
        <f>'Полярный пр-зд 5а'!D138</f>
        <v>3720</v>
      </c>
      <c r="E133" s="75">
        <f>'Ленина 32-16'!D138</f>
        <v>14094</v>
      </c>
      <c r="F133" s="77">
        <f>'Ленина 34'!D138</f>
        <v>7671</v>
      </c>
      <c r="G133" s="75">
        <f>'Ленина 35-20'!D138</f>
        <v>13158</v>
      </c>
      <c r="H133" s="75">
        <f>'Ленина 35а'!D138</f>
        <v>6377</v>
      </c>
      <c r="I133" s="75">
        <f>'Ленина 36'!D138</f>
        <v>10083</v>
      </c>
      <c r="J133" s="75">
        <f>'Ленина 38-7'!D138</f>
        <v>10005</v>
      </c>
      <c r="K133" s="75">
        <f>'Ленина 39'!D138</f>
        <v>9794</v>
      </c>
      <c r="L133" s="75">
        <f>'Ленина 45'!D138</f>
        <v>4847</v>
      </c>
      <c r="M133" s="75">
        <f>'Ленина 47-12'!D138</f>
        <v>10962</v>
      </c>
      <c r="N133" s="75">
        <f>'Корешкова 6'!D138</f>
        <v>8122</v>
      </c>
      <c r="O133" s="75">
        <f>'Корешкова 8-50'!D138</f>
        <v>7290</v>
      </c>
      <c r="P133" s="75">
        <f>'Первомайская 46а'!D138</f>
        <v>7672</v>
      </c>
      <c r="Q133" s="75">
        <f>'Первомайская 48'!D138</f>
        <v>5879</v>
      </c>
      <c r="R133" s="75">
        <f>'Советская 12-1'!D138</f>
        <v>10603</v>
      </c>
      <c r="S133" s="75">
        <f>'Советская 14'!D138</f>
        <v>5878</v>
      </c>
      <c r="T133" s="75">
        <f>'пр-зд Чернышевского 18а'!D138</f>
        <v>2719</v>
      </c>
      <c r="U133" s="75">
        <f t="shared" si="2"/>
        <v>138874</v>
      </c>
    </row>
    <row r="134" spans="1:21" ht="15">
      <c r="A134" s="53"/>
      <c r="B134" s="56" t="s">
        <v>174</v>
      </c>
      <c r="C134" s="37"/>
      <c r="D134" s="34">
        <f>'Полярный пр-зд 5а'!D139</f>
        <v>2143</v>
      </c>
      <c r="E134" s="75">
        <f>'Ленина 32-16'!D139</f>
        <v>8118</v>
      </c>
      <c r="F134" s="77">
        <f>'Ленина 34'!D139</f>
        <v>4419</v>
      </c>
      <c r="G134" s="75">
        <f>'Ленина 35-20'!D139</f>
        <v>7580</v>
      </c>
      <c r="H134" s="75">
        <f>'Ленина 35а'!D139</f>
        <v>3674</v>
      </c>
      <c r="I134" s="75">
        <f>'Ленина 36'!D139</f>
        <v>5809</v>
      </c>
      <c r="J134" s="75">
        <f>'Ленина 38-7'!D139</f>
        <v>5764</v>
      </c>
      <c r="K134" s="75">
        <f>'Ленина 39'!D139</f>
        <v>5643</v>
      </c>
      <c r="L134" s="75">
        <f>'Ленина 45'!D139</f>
        <v>2798</v>
      </c>
      <c r="M134" s="75">
        <f>'Ленина 47-12'!D139</f>
        <v>6315</v>
      </c>
      <c r="N134" s="75">
        <f>'Корешкова 6'!D139</f>
        <v>4679</v>
      </c>
      <c r="O134" s="75">
        <f>'Корешкова 8-50'!D139</f>
        <v>4200</v>
      </c>
      <c r="P134" s="75">
        <f>'Первомайская 46а'!D139</f>
        <v>4420</v>
      </c>
      <c r="Q134" s="75">
        <f>'Первомайская 48'!D139</f>
        <v>3387</v>
      </c>
      <c r="R134" s="75">
        <f>'Советская 12-1'!D139</f>
        <v>6108</v>
      </c>
      <c r="S134" s="75">
        <f>'Советская 14'!D139</f>
        <v>3386</v>
      </c>
      <c r="T134" s="75">
        <f>'пр-зд Чернышевского 18а'!D139</f>
        <v>1567</v>
      </c>
      <c r="U134" s="75">
        <f t="shared" si="2"/>
        <v>80010</v>
      </c>
    </row>
    <row r="135" spans="1:21" ht="15">
      <c r="A135" s="53"/>
      <c r="B135" s="56" t="s">
        <v>175</v>
      </c>
      <c r="C135" s="37"/>
      <c r="D135" s="34">
        <f>'Полярный пр-зд 5а'!D140</f>
        <v>796</v>
      </c>
      <c r="E135" s="75">
        <f>'Ленина 32-16'!D140</f>
        <v>3017</v>
      </c>
      <c r="F135" s="77">
        <f>'Ленина 34'!D140</f>
        <v>1642</v>
      </c>
      <c r="G135" s="75">
        <f>'Ленина 35-20'!D140</f>
        <v>2817</v>
      </c>
      <c r="H135" s="75">
        <f>'Ленина 35а'!D140</f>
        <v>1365</v>
      </c>
      <c r="I135" s="75">
        <f>'Ленина 36'!D140</f>
        <v>2159</v>
      </c>
      <c r="J135" s="75">
        <f>'Ленина 38-7'!D140</f>
        <v>2142</v>
      </c>
      <c r="K135" s="75">
        <f>'Ленина 39'!D140</f>
        <v>2097</v>
      </c>
      <c r="L135" s="75">
        <f>'Ленина 45'!D140</f>
        <v>1038</v>
      </c>
      <c r="M135" s="75">
        <f>'Ленина 47-12'!D140</f>
        <v>2347</v>
      </c>
      <c r="N135" s="75">
        <f>'Корешкова 6'!D140</f>
        <v>1739</v>
      </c>
      <c r="O135" s="75">
        <f>'Корешкова 8-50'!D140</f>
        <v>1561</v>
      </c>
      <c r="P135" s="75">
        <f>'Первомайская 46а'!D140</f>
        <v>1642</v>
      </c>
      <c r="Q135" s="75">
        <f>'Первомайская 48'!D140</f>
        <v>1259</v>
      </c>
      <c r="R135" s="75">
        <f>'Советская 12-1'!D140</f>
        <v>2270</v>
      </c>
      <c r="S135" s="75">
        <f>'Советская 14'!D140</f>
        <v>1258</v>
      </c>
      <c r="T135" s="75">
        <f>'пр-зд Чернышевского 18а'!D140</f>
        <v>582</v>
      </c>
      <c r="U135" s="75">
        <f t="shared" si="2"/>
        <v>29731</v>
      </c>
    </row>
    <row r="136" spans="1:21" ht="15">
      <c r="A136" s="53"/>
      <c r="B136" s="56" t="s">
        <v>176</v>
      </c>
      <c r="C136" s="37"/>
      <c r="D136" s="34">
        <f>'Полярный пр-зд 5а'!D141</f>
        <v>2066</v>
      </c>
      <c r="E136" s="75">
        <f>'Ленина 32-16'!D141</f>
        <v>7825</v>
      </c>
      <c r="F136" s="77">
        <f>'Ленина 34'!D141</f>
        <v>4260</v>
      </c>
      <c r="G136" s="75">
        <f>'Ленина 35-20'!D141</f>
        <v>7307</v>
      </c>
      <c r="H136" s="75">
        <f>'Ленина 35а'!D141</f>
        <v>3542</v>
      </c>
      <c r="I136" s="75">
        <f>'Ленина 36'!D141</f>
        <v>5599</v>
      </c>
      <c r="J136" s="75">
        <f>'Ленина 38-7'!D141</f>
        <v>5556</v>
      </c>
      <c r="K136" s="75">
        <f>'Ленина 39'!D141</f>
        <v>5439</v>
      </c>
      <c r="L136" s="75">
        <f>'Ленина 45'!D141</f>
        <v>2691</v>
      </c>
      <c r="M136" s="75">
        <f>'Ленина 47-12'!D141</f>
        <v>6088</v>
      </c>
      <c r="N136" s="75">
        <f>'Корешкова 6'!D141</f>
        <v>4510</v>
      </c>
      <c r="O136" s="75">
        <f>'Корешкова 8-50'!D141</f>
        <v>4048</v>
      </c>
      <c r="P136" s="75">
        <f>'Первомайская 46а'!D141</f>
        <v>4260</v>
      </c>
      <c r="Q136" s="75">
        <f>'Первомайская 48'!D141</f>
        <v>3265</v>
      </c>
      <c r="R136" s="75">
        <f>'Советская 12-1'!D141</f>
        <v>5888</v>
      </c>
      <c r="S136" s="75">
        <f>'Советская 14'!D141</f>
        <v>3264</v>
      </c>
      <c r="T136" s="75">
        <f>'пр-зд Чернышевского 18а'!D141</f>
        <v>1510</v>
      </c>
      <c r="U136" s="75">
        <f t="shared" si="2"/>
        <v>77118</v>
      </c>
    </row>
    <row r="137" spans="1:21" ht="15">
      <c r="A137" s="27">
        <v>7</v>
      </c>
      <c r="B137" s="32" t="s">
        <v>177</v>
      </c>
      <c r="C137" s="57"/>
      <c r="D137" s="34">
        <f>'Полярный пр-зд 5а'!D142</f>
        <v>0</v>
      </c>
      <c r="E137" s="75">
        <f>'Ленина 32-16'!D142</f>
        <v>0</v>
      </c>
      <c r="F137" s="77">
        <f>'Ленина 34'!D142</f>
        <v>0</v>
      </c>
      <c r="G137" s="75">
        <f>'Ленина 35-20'!D142</f>
        <v>0</v>
      </c>
      <c r="H137" s="75">
        <f>'Ленина 35а'!D142</f>
        <v>0</v>
      </c>
      <c r="I137" s="75">
        <f>'Ленина 36'!D142</f>
        <v>51244.7</v>
      </c>
      <c r="J137" s="75">
        <f>'Ленина 38-7'!D142</f>
        <v>0</v>
      </c>
      <c r="K137" s="75">
        <f>'Ленина 39'!D142</f>
        <v>0</v>
      </c>
      <c r="L137" s="75">
        <f>'Ленина 45'!D142</f>
        <v>46709.54</v>
      </c>
      <c r="M137" s="75">
        <f>'Ленина 47-12'!D142</f>
        <v>61311.57</v>
      </c>
      <c r="N137" s="75">
        <f>'Корешкова 6'!D142</f>
        <v>0</v>
      </c>
      <c r="O137" s="75">
        <f>'Корешкова 8-50'!D142</f>
        <v>0</v>
      </c>
      <c r="P137" s="75">
        <f>'Первомайская 46а'!D142</f>
        <v>28363.02</v>
      </c>
      <c r="Q137" s="75">
        <f>'Первомайская 48'!D142</f>
        <v>0</v>
      </c>
      <c r="R137" s="75">
        <f>'Советская 12-1'!D142</f>
        <v>0</v>
      </c>
      <c r="S137" s="75">
        <f>'Советская 14'!D142</f>
        <v>0</v>
      </c>
      <c r="T137" s="75">
        <f>'пр-зд Чернышевского 18а'!D142</f>
        <v>21595.91</v>
      </c>
      <c r="U137" s="75">
        <f t="shared" si="2"/>
        <v>209224.74</v>
      </c>
    </row>
    <row r="138" spans="1:21" ht="15">
      <c r="A138" s="27">
        <f>SUM(A137)+1</f>
        <v>8</v>
      </c>
      <c r="B138" s="32" t="s">
        <v>178</v>
      </c>
      <c r="C138" s="57"/>
      <c r="D138" s="34">
        <f>'Полярный пр-зд 5а'!D143</f>
        <v>19851.9</v>
      </c>
      <c r="E138" s="75">
        <f>'Ленина 32-16'!D143</f>
        <v>52794.84</v>
      </c>
      <c r="F138" s="77">
        <f>'Ленина 34'!D143</f>
        <v>30169.48</v>
      </c>
      <c r="G138" s="75">
        <f>'Ленина 35-20'!D143</f>
        <v>56204.19</v>
      </c>
      <c r="H138" s="75">
        <f>'Ленина 35а'!D143</f>
        <v>45343.84</v>
      </c>
      <c r="I138" s="75">
        <f>'Ленина 36'!D143</f>
        <v>38518.26</v>
      </c>
      <c r="J138" s="75">
        <f>'Ленина 38-7'!D143</f>
        <v>37593.23</v>
      </c>
      <c r="K138" s="75">
        <f>'Ленина 39'!D143</f>
        <v>43944.14</v>
      </c>
      <c r="L138" s="75">
        <f>'Ленина 45'!D143</f>
        <v>35333.77</v>
      </c>
      <c r="M138" s="75">
        <f>'Ленина 47-12'!D143</f>
        <v>47986.69</v>
      </c>
      <c r="N138" s="75">
        <f>'Корешкова 6'!D143</f>
        <v>29651.71</v>
      </c>
      <c r="O138" s="75">
        <f>'Корешкова 8-50'!D143</f>
        <v>29920.84</v>
      </c>
      <c r="P138" s="75">
        <f>'Первомайская 46а'!D143</f>
        <v>11923.32</v>
      </c>
      <c r="Q138" s="75">
        <f>'Первомайская 48'!D143</f>
        <v>22396.15</v>
      </c>
      <c r="R138" s="75">
        <f>'Советская 12-1'!D143</f>
        <v>39766.94</v>
      </c>
      <c r="S138" s="75">
        <f>'Советская 14'!D143</f>
        <v>21739.98</v>
      </c>
      <c r="T138" s="75">
        <f>'пр-зд Чернышевского 18а'!D143</f>
        <v>14052.09</v>
      </c>
      <c r="U138" s="75">
        <f t="shared" si="2"/>
        <v>577191.37</v>
      </c>
    </row>
    <row r="139" spans="1:21" ht="15">
      <c r="A139" s="27">
        <f>SUM(A138)+1</f>
        <v>9</v>
      </c>
      <c r="B139" s="32" t="s">
        <v>179</v>
      </c>
      <c r="C139" s="37"/>
      <c r="D139" s="34">
        <f>'Полярный пр-зд 5а'!D144</f>
        <v>108197</v>
      </c>
      <c r="E139" s="75">
        <f>'Ленина 32-16'!D144</f>
        <v>409900</v>
      </c>
      <c r="F139" s="77">
        <f>'Ленина 34'!D144</f>
        <v>223127</v>
      </c>
      <c r="G139" s="75">
        <f>'Ленина 35-20'!D144</f>
        <v>382735</v>
      </c>
      <c r="H139" s="75">
        <f>'Ленина 35а'!D144</f>
        <v>185506</v>
      </c>
      <c r="I139" s="75">
        <f>'Ленина 36'!D144</f>
        <v>293295</v>
      </c>
      <c r="J139" s="75">
        <f>'Ленина 38-7'!D144</f>
        <v>291039</v>
      </c>
      <c r="K139" s="75">
        <f>'Ленина 39'!D144</f>
        <v>284903</v>
      </c>
      <c r="L139" s="75">
        <f>'Ленина 45'!D144</f>
        <v>140978</v>
      </c>
      <c r="M139" s="75">
        <f>'Ленина 47-12'!D144</f>
        <v>318868</v>
      </c>
      <c r="N139" s="75">
        <f>'Корешкова 6'!D144</f>
        <v>236245</v>
      </c>
      <c r="O139" s="75">
        <f>'Корешкова 8-50'!D144</f>
        <v>212050</v>
      </c>
      <c r="P139" s="75">
        <f>'Первомайская 46а'!D144</f>
        <v>223158</v>
      </c>
      <c r="Q139" s="75">
        <f>'Первомайская 48'!D144</f>
        <v>171023</v>
      </c>
      <c r="R139" s="75">
        <f>'Советская 12-1'!D144</f>
        <v>308425</v>
      </c>
      <c r="S139" s="75">
        <f>'Советская 14'!D144</f>
        <v>170983</v>
      </c>
      <c r="T139" s="75">
        <f>'пр-зд Чернышевского 18а'!D144</f>
        <v>79099</v>
      </c>
      <c r="U139" s="75">
        <f t="shared" si="2"/>
        <v>4039531</v>
      </c>
    </row>
    <row r="140" spans="1:21" ht="15">
      <c r="A140" s="35">
        <f>SUM(A139)+1</f>
        <v>10</v>
      </c>
      <c r="B140" s="36" t="s">
        <v>180</v>
      </c>
      <c r="C140" s="37"/>
      <c r="D140" s="34">
        <f>'Полярный пр-зд 5а'!D145</f>
        <v>1150.77</v>
      </c>
      <c r="E140" s="75">
        <f>'Ленина 32-16'!D145</f>
        <v>1533.5</v>
      </c>
      <c r="F140" s="77">
        <f>'Ленина 34'!D145</f>
        <v>2152.89</v>
      </c>
      <c r="G140" s="75">
        <f>'Ленина 35-20'!D145</f>
        <v>2605.68</v>
      </c>
      <c r="H140" s="75">
        <f>'Ленина 35а'!D145</f>
        <v>2017.26</v>
      </c>
      <c r="I140" s="75">
        <f>'Ленина 36'!D145</f>
        <v>858.59</v>
      </c>
      <c r="J140" s="75">
        <f>'Ленина 38-7'!D145</f>
        <v>2901.48</v>
      </c>
      <c r="K140" s="75">
        <f>'Ленина 39'!D145</f>
        <v>2637.71</v>
      </c>
      <c r="L140" s="75">
        <f>'Ленина 45'!D145</f>
        <v>1430.99</v>
      </c>
      <c r="M140" s="75">
        <f>'Ленина 47-12'!D145</f>
        <v>2750.91</v>
      </c>
      <c r="N140" s="75">
        <f>'Корешкова 6'!D145</f>
        <v>1674.47</v>
      </c>
      <c r="O140" s="75">
        <f>'Корешкова 8-50'!D145</f>
        <v>3701.65</v>
      </c>
      <c r="P140" s="75">
        <f>'Первомайская 46а'!D145</f>
        <v>1620</v>
      </c>
      <c r="Q140" s="75">
        <f>'Первомайская 48'!D145</f>
        <v>1176.83</v>
      </c>
      <c r="R140" s="75">
        <f>'Советская 12-1'!D145</f>
        <v>7050.09</v>
      </c>
      <c r="S140" s="75">
        <f>'Советская 14'!D145</f>
        <v>1084.99</v>
      </c>
      <c r="T140" s="75">
        <f>'пр-зд Чернышевского 18а'!D145</f>
        <v>826.55</v>
      </c>
      <c r="U140" s="75">
        <f t="shared" si="2"/>
        <v>37174.36000000001</v>
      </c>
    </row>
    <row r="141" spans="1:21" ht="15">
      <c r="A141" s="27">
        <v>11</v>
      </c>
      <c r="B141" s="32" t="s">
        <v>181</v>
      </c>
      <c r="C141" s="33"/>
      <c r="D141" s="34">
        <f>'Полярный пр-зд 5а'!D146</f>
        <v>207920.6935</v>
      </c>
      <c r="E141" s="75">
        <f>'Ленина 32-16'!D146</f>
        <v>685607.4878</v>
      </c>
      <c r="F141" s="77">
        <f>'Ленина 34'!D146</f>
        <v>373468.266</v>
      </c>
      <c r="G141" s="75">
        <f>'Ленина 35-20'!D146</f>
        <v>662350.497</v>
      </c>
      <c r="H141" s="75">
        <f>'Ленина 35а'!D146</f>
        <v>348794.5158</v>
      </c>
      <c r="I141" s="75">
        <f>'Ленина 36'!D146</f>
        <v>481520.10970000003</v>
      </c>
      <c r="J141" s="75">
        <f>'Ленина 38-7'!D146</f>
        <v>489469.95279999997</v>
      </c>
      <c r="K141" s="75">
        <f>'Ленина 39'!D146</f>
        <v>501949.0716</v>
      </c>
      <c r="L141" s="75">
        <f>'Ленина 45'!D146</f>
        <v>267606.7144</v>
      </c>
      <c r="M141" s="75">
        <f>'Ленина 47-12'!D146</f>
        <v>543561.1741</v>
      </c>
      <c r="N141" s="75">
        <f>'Корешкова 6'!D146</f>
        <v>426645.14280000003</v>
      </c>
      <c r="O141" s="75">
        <f>'Корешкова 8-50'!D146</f>
        <v>377457.8283</v>
      </c>
      <c r="P141" s="75">
        <f>'Первомайская 46а'!D146</f>
        <v>425764.5538</v>
      </c>
      <c r="Q141" s="75">
        <f>'Первомайская 48'!D146</f>
        <v>294455.4379</v>
      </c>
      <c r="R141" s="75">
        <f>'Советская 12-1'!D146</f>
        <v>514814.0395</v>
      </c>
      <c r="S141" s="75">
        <f>'Советская 14'!D146</f>
        <v>285039.2305</v>
      </c>
      <c r="T141" s="75">
        <f>'пр-зд Чернышевского 18а'!D146</f>
        <v>147773.2345</v>
      </c>
      <c r="U141" s="75">
        <f t="shared" si="2"/>
        <v>7034197.949999999</v>
      </c>
    </row>
    <row r="142" spans="1:21" ht="30">
      <c r="A142" s="28" t="s">
        <v>182</v>
      </c>
      <c r="B142" s="59" t="s">
        <v>183</v>
      </c>
      <c r="C142" s="60"/>
      <c r="D142" s="34">
        <f>'Полярный пр-зд 5а'!D147</f>
        <v>71081.6935</v>
      </c>
      <c r="E142" s="75">
        <f>'Ленина 32-16'!D147</f>
        <v>167198.4878</v>
      </c>
      <c r="F142" s="77">
        <f>'Ленина 34'!D147</f>
        <v>91275.266</v>
      </c>
      <c r="G142" s="75">
        <f>'Ленина 35-20'!D147</f>
        <v>178297.497</v>
      </c>
      <c r="H142" s="75">
        <f>'Ленина 35а'!D147</f>
        <v>114180.5158</v>
      </c>
      <c r="I142" s="75">
        <f>'Ленина 36'!D147</f>
        <v>110583.1097</v>
      </c>
      <c r="J142" s="75">
        <f>'Ленина 38-7'!D147</f>
        <v>121387.9528</v>
      </c>
      <c r="K142" s="75">
        <f>'Ленина 39'!D147</f>
        <v>141626.0716</v>
      </c>
      <c r="L142" s="75">
        <f>'Ленина 45'!D147</f>
        <v>89309.7144</v>
      </c>
      <c r="M142" s="75">
        <f>'Ленина 47-12'!D147</f>
        <v>140283.1741</v>
      </c>
      <c r="N142" s="75">
        <f>'Корешкова 6'!D147</f>
        <v>127861.1428</v>
      </c>
      <c r="O142" s="75">
        <f>'Корешкова 8-50'!D147</f>
        <v>109273.8283</v>
      </c>
      <c r="P142" s="75">
        <f>'Первомайская 46а'!D147</f>
        <v>143530.5538</v>
      </c>
      <c r="Q142" s="75">
        <f>'Первомайская 48'!D147</f>
        <v>78159.4379</v>
      </c>
      <c r="R142" s="75">
        <f>'Советская 12-1'!D147</f>
        <v>124743.03950000001</v>
      </c>
      <c r="S142" s="75">
        <f>'Советская 14'!D147</f>
        <v>68793.2305</v>
      </c>
      <c r="T142" s="75">
        <f>'пр-зд Чернышевского 18а'!D147</f>
        <v>47734.2345</v>
      </c>
      <c r="U142" s="75">
        <f t="shared" si="2"/>
        <v>1925318.9500000002</v>
      </c>
    </row>
    <row r="143" spans="1:21" ht="45">
      <c r="A143" s="61">
        <v>12</v>
      </c>
      <c r="B143" s="62" t="s">
        <v>184</v>
      </c>
      <c r="C143" s="33"/>
      <c r="D143" s="34">
        <f>'Полярный пр-зд 5а'!D148</f>
        <v>4814</v>
      </c>
      <c r="E143" s="75">
        <f>'Ленина 32-16'!D148</f>
        <v>18238</v>
      </c>
      <c r="F143" s="77">
        <f>'Ленина 34'!D148</f>
        <v>9928</v>
      </c>
      <c r="G143" s="75">
        <f>'Ленина 35-20'!D148</f>
        <v>17029</v>
      </c>
      <c r="H143" s="75">
        <f>'Ленина 35а'!D148</f>
        <v>8254</v>
      </c>
      <c r="I143" s="75">
        <f>'Ленина 36'!D148</f>
        <v>13050</v>
      </c>
      <c r="J143" s="75">
        <f>'Ленина 38-7'!D148</f>
        <v>12949</v>
      </c>
      <c r="K143" s="75">
        <f>'Ленина 39'!D148</f>
        <v>12676</v>
      </c>
      <c r="L143" s="75">
        <f>'Ленина 45'!D148</f>
        <v>6273</v>
      </c>
      <c r="M143" s="75">
        <f>'Ленина 47-12'!D148</f>
        <v>14188</v>
      </c>
      <c r="N143" s="75">
        <f>'Корешкова 6'!D148</f>
        <v>10511</v>
      </c>
      <c r="O143" s="75">
        <f>'Корешкова 8-50'!D148</f>
        <v>9435</v>
      </c>
      <c r="P143" s="75">
        <f>'Первомайская 46а'!D148</f>
        <v>9929</v>
      </c>
      <c r="Q143" s="75">
        <f>'Первомайская 48'!D148</f>
        <v>7610</v>
      </c>
      <c r="R143" s="75">
        <f>'Советская 12-1'!D148</f>
        <v>13723</v>
      </c>
      <c r="S143" s="75">
        <f>'Советская 14'!D148</f>
        <v>7608</v>
      </c>
      <c r="T143" s="75">
        <f>'пр-зд Чернышевского 18а'!D148</f>
        <v>3519</v>
      </c>
      <c r="U143" s="75">
        <f t="shared" si="2"/>
        <v>179734</v>
      </c>
    </row>
    <row r="144" spans="4:20" ht="15"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</row>
    <row r="145" spans="4:20" ht="15"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</row>
    <row r="146" spans="4:20" ht="15"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</row>
    <row r="147" spans="2:20" ht="15">
      <c r="B147" s="85" t="s">
        <v>256</v>
      </c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</row>
    <row r="148" spans="4:20" ht="15"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</row>
    <row r="149" spans="4:20" ht="15">
      <c r="D149" s="97" t="s">
        <v>248</v>
      </c>
      <c r="E149" s="97" t="s">
        <v>249</v>
      </c>
      <c r="F149" s="97" t="s">
        <v>250</v>
      </c>
      <c r="G149" s="97" t="s">
        <v>251</v>
      </c>
      <c r="H149" s="97" t="s">
        <v>252</v>
      </c>
      <c r="I149" s="97" t="s">
        <v>253</v>
      </c>
      <c r="J149" s="97" t="s">
        <v>254</v>
      </c>
      <c r="K149" s="98" t="s">
        <v>255</v>
      </c>
      <c r="L149" s="99"/>
      <c r="M149" s="99"/>
      <c r="N149" s="99"/>
      <c r="O149" s="95"/>
      <c r="P149" s="95"/>
      <c r="Q149" s="95"/>
      <c r="R149" s="95"/>
      <c r="S149" s="95"/>
      <c r="T149" s="95"/>
    </row>
    <row r="150" spans="1:20" ht="30">
      <c r="A150" s="10" t="s">
        <v>14</v>
      </c>
      <c r="B150" s="11" t="s">
        <v>15</v>
      </c>
      <c r="C150" s="82" t="s">
        <v>16</v>
      </c>
      <c r="D150" s="86">
        <f>'[1]Свод.'!BA3</f>
        <v>2510440.9899999998</v>
      </c>
      <c r="E150" s="86">
        <f>'[2]Свод.'!AF3</f>
        <v>5833393.8999999985</v>
      </c>
      <c r="F150" s="86">
        <f>'[3]Свод.'!O3</f>
        <v>3872861.1799999997</v>
      </c>
      <c r="G150" s="86">
        <f>'[4]Свод.'!M3</f>
        <v>730094.88</v>
      </c>
      <c r="H150" s="86">
        <f>'[5]Свод.'!N3</f>
        <v>4582025.699999999</v>
      </c>
      <c r="I150" s="86">
        <f>'[6]Свод.'!AR3</f>
        <v>4612563.77</v>
      </c>
      <c r="J150" s="84">
        <f>U3</f>
        <v>5056426.02</v>
      </c>
      <c r="K150" s="84">
        <f>SUM(D150:J150)</f>
        <v>27197806.439999998</v>
      </c>
      <c r="L150" s="95"/>
      <c r="M150" s="95"/>
      <c r="N150" s="95"/>
      <c r="O150" s="95"/>
      <c r="P150" s="95"/>
      <c r="Q150" s="95"/>
      <c r="R150" s="95"/>
      <c r="S150" s="95"/>
      <c r="T150" s="95"/>
    </row>
    <row r="151" spans="1:20" ht="15">
      <c r="A151" s="10" t="s">
        <v>17</v>
      </c>
      <c r="B151" s="13" t="s">
        <v>18</v>
      </c>
      <c r="C151" s="82" t="s">
        <v>16</v>
      </c>
      <c r="D151" s="86">
        <f>'[1]Свод.'!BA4</f>
        <v>0</v>
      </c>
      <c r="E151" s="86">
        <f>'[2]Свод.'!AF4</f>
        <v>124238.16</v>
      </c>
      <c r="F151" s="86">
        <f>'[3]Свод.'!O4</f>
        <v>0</v>
      </c>
      <c r="G151" s="86">
        <f>'[4]Свод.'!M4</f>
        <v>0</v>
      </c>
      <c r="H151" s="86">
        <f>'[5]Свод.'!N4</f>
        <v>0</v>
      </c>
      <c r="I151" s="86">
        <f>'[6]Свод.'!AR4</f>
        <v>0</v>
      </c>
      <c r="J151" s="84">
        <f aca="true" t="shared" si="3" ref="J151:J214">U4</f>
        <v>0</v>
      </c>
      <c r="K151" s="84">
        <f aca="true" t="shared" si="4" ref="K151:K214">SUM(D151:J151)</f>
        <v>124238.16</v>
      </c>
      <c r="L151" s="95"/>
      <c r="M151" s="95"/>
      <c r="N151" s="95"/>
      <c r="O151" s="95"/>
      <c r="P151" s="95"/>
      <c r="Q151" s="95"/>
      <c r="R151" s="95"/>
      <c r="S151" s="95"/>
      <c r="T151" s="95"/>
    </row>
    <row r="152" spans="1:20" ht="15">
      <c r="A152" s="10" t="s">
        <v>19</v>
      </c>
      <c r="B152" s="13" t="s">
        <v>20</v>
      </c>
      <c r="C152" s="82" t="s">
        <v>16</v>
      </c>
      <c r="D152" s="86">
        <f>'[1]Свод.'!BA5</f>
        <v>2510440.9899999998</v>
      </c>
      <c r="E152" s="86">
        <f>'[2]Свод.'!AF5</f>
        <v>5957632.059999999</v>
      </c>
      <c r="F152" s="86">
        <f>'[3]Свод.'!O5</f>
        <v>3872861.1799999997</v>
      </c>
      <c r="G152" s="86">
        <f>'[4]Свод.'!M5</f>
        <v>730094.88</v>
      </c>
      <c r="H152" s="86">
        <f>'[5]Свод.'!N5</f>
        <v>4582025.699999999</v>
      </c>
      <c r="I152" s="86">
        <f>'[6]Свод.'!AR5</f>
        <v>4612563.77</v>
      </c>
      <c r="J152" s="84">
        <f t="shared" si="3"/>
        <v>5056426.02</v>
      </c>
      <c r="K152" s="84">
        <f t="shared" si="4"/>
        <v>27322044.599999998</v>
      </c>
      <c r="L152" s="95"/>
      <c r="M152" s="95"/>
      <c r="N152" s="95"/>
      <c r="O152" s="95"/>
      <c r="P152" s="95"/>
      <c r="Q152" s="95"/>
      <c r="R152" s="95"/>
      <c r="S152" s="95"/>
      <c r="T152" s="95"/>
    </row>
    <row r="153" spans="1:20" ht="30">
      <c r="A153" s="10" t="s">
        <v>21</v>
      </c>
      <c r="B153" s="11" t="s">
        <v>22</v>
      </c>
      <c r="C153" s="82" t="s">
        <v>16</v>
      </c>
      <c r="D153" s="86">
        <f>'[1]Свод.'!BA6</f>
        <v>11944347.170000004</v>
      </c>
      <c r="E153" s="86">
        <f>'[2]Свод.'!AF6</f>
        <v>61217777.20999999</v>
      </c>
      <c r="F153" s="86">
        <f>'[3]Свод.'!O6</f>
        <v>23750968.859999996</v>
      </c>
      <c r="G153" s="86">
        <f>'[4]Свод.'!M6</f>
        <v>3307509.52</v>
      </c>
      <c r="H153" s="86">
        <f>'[5]Свод.'!N6</f>
        <v>12157805.030000001</v>
      </c>
      <c r="I153" s="86">
        <f>'[6]Свод.'!AR6</f>
        <v>6786905.46</v>
      </c>
      <c r="J153" s="84">
        <f t="shared" si="3"/>
        <v>27852809.61</v>
      </c>
      <c r="K153" s="84">
        <f t="shared" si="4"/>
        <v>147018122.85999998</v>
      </c>
      <c r="L153" s="95"/>
      <c r="M153" s="95"/>
      <c r="N153" s="95"/>
      <c r="O153" s="95"/>
      <c r="P153" s="95"/>
      <c r="Q153" s="95"/>
      <c r="R153" s="95"/>
      <c r="S153" s="95"/>
      <c r="T153" s="95"/>
    </row>
    <row r="154" spans="1:20" ht="15">
      <c r="A154" s="6" t="s">
        <v>23</v>
      </c>
      <c r="B154" s="15" t="s">
        <v>24</v>
      </c>
      <c r="C154" s="83" t="s">
        <v>16</v>
      </c>
      <c r="D154" s="86">
        <f>'[1]Свод.'!BA7</f>
        <v>0</v>
      </c>
      <c r="E154" s="86">
        <f>'[2]Свод.'!AF7</f>
        <v>0</v>
      </c>
      <c r="F154" s="86">
        <f>'[3]Свод.'!O7</f>
        <v>0</v>
      </c>
      <c r="G154" s="86">
        <f>'[4]Свод.'!M7</f>
        <v>0</v>
      </c>
      <c r="H154" s="86">
        <f>'[5]Свод.'!N7</f>
        <v>0</v>
      </c>
      <c r="I154" s="86">
        <f>'[6]Свод.'!AR7</f>
        <v>0</v>
      </c>
      <c r="J154" s="84">
        <f t="shared" si="3"/>
        <v>0</v>
      </c>
      <c r="K154" s="84">
        <f t="shared" si="4"/>
        <v>0</v>
      </c>
      <c r="L154" s="95"/>
      <c r="M154" s="95"/>
      <c r="N154" s="95"/>
      <c r="O154" s="95"/>
      <c r="P154" s="95"/>
      <c r="Q154" s="95"/>
      <c r="R154" s="95"/>
      <c r="S154" s="95"/>
      <c r="T154" s="95"/>
    </row>
    <row r="155" spans="1:20" ht="15">
      <c r="A155" s="6" t="s">
        <v>25</v>
      </c>
      <c r="B155" s="15" t="s">
        <v>26</v>
      </c>
      <c r="C155" s="83" t="s">
        <v>16</v>
      </c>
      <c r="D155" s="86">
        <f>'[1]Свод.'!BA8</f>
        <v>0</v>
      </c>
      <c r="E155" s="86">
        <f>'[2]Свод.'!AF8</f>
        <v>0</v>
      </c>
      <c r="F155" s="86">
        <f>'[3]Свод.'!O8</f>
        <v>0</v>
      </c>
      <c r="G155" s="86">
        <f>'[4]Свод.'!M8</f>
        <v>0</v>
      </c>
      <c r="H155" s="86">
        <f>'[5]Свод.'!N8</f>
        <v>0</v>
      </c>
      <c r="I155" s="86">
        <f>'[6]Свод.'!AR8</f>
        <v>0</v>
      </c>
      <c r="J155" s="84">
        <f t="shared" si="3"/>
        <v>0</v>
      </c>
      <c r="K155" s="84">
        <f t="shared" si="4"/>
        <v>0</v>
      </c>
      <c r="L155" s="95"/>
      <c r="M155" s="95"/>
      <c r="N155" s="95"/>
      <c r="O155" s="95"/>
      <c r="P155" s="95"/>
      <c r="Q155" s="95"/>
      <c r="R155" s="95"/>
      <c r="S155" s="95"/>
      <c r="T155" s="95"/>
    </row>
    <row r="156" spans="1:20" ht="15">
      <c r="A156" s="6" t="s">
        <v>27</v>
      </c>
      <c r="B156" s="15" t="s">
        <v>28</v>
      </c>
      <c r="C156" s="83" t="s">
        <v>16</v>
      </c>
      <c r="D156" s="86">
        <f>'[1]Свод.'!BA9</f>
        <v>0</v>
      </c>
      <c r="E156" s="86">
        <f>'[2]Свод.'!AF9</f>
        <v>0</v>
      </c>
      <c r="F156" s="86">
        <f>'[3]Свод.'!O9</f>
        <v>0</v>
      </c>
      <c r="G156" s="86">
        <f>'[4]Свод.'!M9</f>
        <v>0</v>
      </c>
      <c r="H156" s="86">
        <f>'[5]Свод.'!N9</f>
        <v>0</v>
      </c>
      <c r="I156" s="86">
        <f>'[6]Свод.'!AR9</f>
        <v>0</v>
      </c>
      <c r="J156" s="84">
        <f t="shared" si="3"/>
        <v>0</v>
      </c>
      <c r="K156" s="84">
        <f t="shared" si="4"/>
        <v>0</v>
      </c>
      <c r="L156" s="95"/>
      <c r="M156" s="95"/>
      <c r="N156" s="95"/>
      <c r="O156" s="95"/>
      <c r="P156" s="95"/>
      <c r="Q156" s="95"/>
      <c r="R156" s="95"/>
      <c r="S156" s="95"/>
      <c r="T156" s="95"/>
    </row>
    <row r="157" spans="1:20" ht="15">
      <c r="A157" s="6" t="s">
        <v>29</v>
      </c>
      <c r="B157" s="16" t="s">
        <v>30</v>
      </c>
      <c r="C157" s="83" t="s">
        <v>16</v>
      </c>
      <c r="D157" s="86">
        <f>'[1]Свод.'!BA10</f>
        <v>11156379.529999997</v>
      </c>
      <c r="E157" s="86">
        <f>'[2]Свод.'!AF10</f>
        <v>59985920.999999985</v>
      </c>
      <c r="F157" s="86">
        <f>'[3]Свод.'!O10</f>
        <v>23383453.539999995</v>
      </c>
      <c r="G157" s="86">
        <f>'[4]Свод.'!M10</f>
        <v>3051615.7600000002</v>
      </c>
      <c r="H157" s="86">
        <f>'[5]Свод.'!N10</f>
        <v>11809917.19</v>
      </c>
      <c r="I157" s="86">
        <f>'[6]Свод.'!AR10</f>
        <v>5246492.4</v>
      </c>
      <c r="J157" s="84">
        <f t="shared" si="3"/>
        <v>27210441.78</v>
      </c>
      <c r="K157" s="84">
        <f t="shared" si="4"/>
        <v>141844221.2</v>
      </c>
      <c r="L157" s="95"/>
      <c r="M157" s="95"/>
      <c r="N157" s="95"/>
      <c r="O157" s="95"/>
      <c r="P157" s="95"/>
      <c r="Q157" s="95"/>
      <c r="R157" s="95"/>
      <c r="S157" s="95"/>
      <c r="T157" s="95"/>
    </row>
    <row r="158" spans="1:20" ht="15">
      <c r="A158" s="6" t="s">
        <v>31</v>
      </c>
      <c r="B158" s="15" t="s">
        <v>32</v>
      </c>
      <c r="C158" s="83" t="s">
        <v>16</v>
      </c>
      <c r="D158" s="86">
        <f>'[1]Свод.'!BA11</f>
        <v>11156379.529999997</v>
      </c>
      <c r="E158" s="86">
        <f>'[2]Свод.'!AF11</f>
        <v>59985920.999999985</v>
      </c>
      <c r="F158" s="86">
        <f>'[3]Свод.'!O11</f>
        <v>23383453.539999995</v>
      </c>
      <c r="G158" s="86">
        <f>'[4]Свод.'!M11</f>
        <v>3051615.7600000002</v>
      </c>
      <c r="H158" s="86">
        <f>'[5]Свод.'!N11</f>
        <v>11809917.19</v>
      </c>
      <c r="I158" s="86">
        <f>'[6]Свод.'!AR11</f>
        <v>5246492.4</v>
      </c>
      <c r="J158" s="84">
        <f t="shared" si="3"/>
        <v>27210441.78</v>
      </c>
      <c r="K158" s="84">
        <f t="shared" si="4"/>
        <v>141844221.2</v>
      </c>
      <c r="L158" s="95"/>
      <c r="M158" s="95"/>
      <c r="N158" s="95"/>
      <c r="O158" s="95"/>
      <c r="P158" s="95"/>
      <c r="Q158" s="95"/>
      <c r="R158" s="95"/>
      <c r="S158" s="95"/>
      <c r="T158" s="95"/>
    </row>
    <row r="159" spans="1:20" ht="15">
      <c r="A159" s="6" t="s">
        <v>33</v>
      </c>
      <c r="B159" s="15" t="s">
        <v>34</v>
      </c>
      <c r="C159" s="83" t="s">
        <v>16</v>
      </c>
      <c r="D159" s="86">
        <f>'[1]Свод.'!BA12</f>
        <v>0</v>
      </c>
      <c r="E159" s="86">
        <f>'[2]Свод.'!AF12</f>
        <v>0</v>
      </c>
      <c r="F159" s="86">
        <f>'[3]Свод.'!O12</f>
        <v>0</v>
      </c>
      <c r="G159" s="86">
        <f>'[4]Свод.'!M12</f>
        <v>0</v>
      </c>
      <c r="H159" s="86">
        <f>'[5]Свод.'!N12</f>
        <v>0</v>
      </c>
      <c r="I159" s="86">
        <f>'[6]Свод.'!AR12</f>
        <v>0</v>
      </c>
      <c r="J159" s="84">
        <f t="shared" si="3"/>
        <v>0</v>
      </c>
      <c r="K159" s="84">
        <f t="shared" si="4"/>
        <v>0</v>
      </c>
      <c r="L159" s="95"/>
      <c r="M159" s="95"/>
      <c r="N159" s="95"/>
      <c r="O159" s="95"/>
      <c r="P159" s="95"/>
      <c r="Q159" s="95"/>
      <c r="R159" s="95"/>
      <c r="S159" s="95"/>
      <c r="T159" s="95"/>
    </row>
    <row r="160" spans="1:20" ht="15">
      <c r="A160" s="6" t="s">
        <v>35</v>
      </c>
      <c r="B160" s="15" t="s">
        <v>36</v>
      </c>
      <c r="C160" s="83" t="s">
        <v>16</v>
      </c>
      <c r="D160" s="86">
        <f>'[1]Свод.'!BA13</f>
        <v>0</v>
      </c>
      <c r="E160" s="86">
        <f>'[2]Свод.'!AF13</f>
        <v>0</v>
      </c>
      <c r="F160" s="86">
        <f>'[3]Свод.'!O13</f>
        <v>0</v>
      </c>
      <c r="G160" s="86">
        <f>'[4]Свод.'!M13</f>
        <v>0</v>
      </c>
      <c r="H160" s="86">
        <f>'[5]Свод.'!N13</f>
        <v>0</v>
      </c>
      <c r="I160" s="86">
        <f>'[6]Свод.'!AR13</f>
        <v>0</v>
      </c>
      <c r="J160" s="84">
        <f t="shared" si="3"/>
        <v>0</v>
      </c>
      <c r="K160" s="84">
        <f t="shared" si="4"/>
        <v>0</v>
      </c>
      <c r="L160" s="95"/>
      <c r="M160" s="95"/>
      <c r="N160" s="95"/>
      <c r="O160" s="95"/>
      <c r="P160" s="95"/>
      <c r="Q160" s="95"/>
      <c r="R160" s="95"/>
      <c r="S160" s="95"/>
      <c r="T160" s="95"/>
    </row>
    <row r="161" spans="1:20" ht="30">
      <c r="A161" s="6" t="s">
        <v>37</v>
      </c>
      <c r="B161" s="15" t="s">
        <v>38</v>
      </c>
      <c r="C161" s="83" t="s">
        <v>16</v>
      </c>
      <c r="D161" s="86">
        <f>'[1]Свод.'!BA14</f>
        <v>0</v>
      </c>
      <c r="E161" s="86">
        <f>'[2]Свод.'!AF14</f>
        <v>0</v>
      </c>
      <c r="F161" s="86">
        <f>'[3]Свод.'!O14</f>
        <v>0</v>
      </c>
      <c r="G161" s="86">
        <f>'[4]Свод.'!M14</f>
        <v>0</v>
      </c>
      <c r="H161" s="86">
        <f>'[5]Свод.'!N14</f>
        <v>0</v>
      </c>
      <c r="I161" s="86">
        <f>'[6]Свод.'!AR14</f>
        <v>0</v>
      </c>
      <c r="J161" s="84">
        <f t="shared" si="3"/>
        <v>0</v>
      </c>
      <c r="K161" s="84">
        <f t="shared" si="4"/>
        <v>0</v>
      </c>
      <c r="L161" s="95"/>
      <c r="M161" s="95"/>
      <c r="N161" s="95"/>
      <c r="O161" s="95"/>
      <c r="P161" s="95"/>
      <c r="Q161" s="95"/>
      <c r="R161" s="95"/>
      <c r="S161" s="95"/>
      <c r="T161" s="95"/>
    </row>
    <row r="162" spans="1:20" ht="15">
      <c r="A162" s="6" t="s">
        <v>39</v>
      </c>
      <c r="B162" s="15" t="s">
        <v>40</v>
      </c>
      <c r="C162" s="83" t="s">
        <v>16</v>
      </c>
      <c r="D162" s="86">
        <f>'[1]Свод.'!BA15</f>
        <v>0</v>
      </c>
      <c r="E162" s="86">
        <f>'[2]Свод.'!AF15</f>
        <v>0</v>
      </c>
      <c r="F162" s="86">
        <f>'[3]Свод.'!O15</f>
        <v>0</v>
      </c>
      <c r="G162" s="86">
        <f>'[4]Свод.'!M15</f>
        <v>0</v>
      </c>
      <c r="H162" s="86">
        <f>'[5]Свод.'!N15</f>
        <v>0</v>
      </c>
      <c r="I162" s="86">
        <f>'[6]Свод.'!AR15</f>
        <v>0</v>
      </c>
      <c r="J162" s="84">
        <f t="shared" si="3"/>
        <v>0</v>
      </c>
      <c r="K162" s="84">
        <f t="shared" si="4"/>
        <v>0</v>
      </c>
      <c r="L162" s="95"/>
      <c r="M162" s="95"/>
      <c r="N162" s="95"/>
      <c r="O162" s="95"/>
      <c r="P162" s="95"/>
      <c r="Q162" s="95"/>
      <c r="R162" s="95"/>
      <c r="S162" s="95"/>
      <c r="T162" s="95"/>
    </row>
    <row r="163" spans="1:20" ht="15">
      <c r="A163" s="6" t="s">
        <v>41</v>
      </c>
      <c r="B163" s="16" t="s">
        <v>42</v>
      </c>
      <c r="C163" s="83" t="s">
        <v>16</v>
      </c>
      <c r="D163" s="86">
        <f>'[1]Свод.'!BA16</f>
        <v>11156379.529999997</v>
      </c>
      <c r="E163" s="86">
        <f>'[2]Свод.'!AF16</f>
        <v>59985920.999999985</v>
      </c>
      <c r="F163" s="86">
        <f>'[3]Свод.'!O16</f>
        <v>23383453.539999995</v>
      </c>
      <c r="G163" s="86">
        <f>'[4]Свод.'!M16</f>
        <v>3051615.7600000002</v>
      </c>
      <c r="H163" s="86">
        <f>'[5]Свод.'!N16</f>
        <v>11809917.19</v>
      </c>
      <c r="I163" s="86">
        <f>'[6]Свод.'!AR16</f>
        <v>5246492.4</v>
      </c>
      <c r="J163" s="84">
        <f t="shared" si="3"/>
        <v>27210441.78</v>
      </c>
      <c r="K163" s="84">
        <f t="shared" si="4"/>
        <v>141844221.2</v>
      </c>
      <c r="L163" s="95"/>
      <c r="M163" s="95"/>
      <c r="N163" s="95"/>
      <c r="O163" s="95"/>
      <c r="P163" s="95"/>
      <c r="Q163" s="95"/>
      <c r="R163" s="95"/>
      <c r="S163" s="95"/>
      <c r="T163" s="95"/>
    </row>
    <row r="164" spans="1:20" ht="30">
      <c r="A164" s="6" t="s">
        <v>43</v>
      </c>
      <c r="B164" s="16" t="s">
        <v>44</v>
      </c>
      <c r="C164" s="83" t="s">
        <v>16</v>
      </c>
      <c r="D164" s="86">
        <f>'[1]Свод.'!BA17</f>
        <v>3298408.63</v>
      </c>
      <c r="E164" s="86">
        <f>'[2]Свод.'!AF17</f>
        <v>7065250.1099999985</v>
      </c>
      <c r="F164" s="86">
        <f>'[3]Свод.'!O17</f>
        <v>4240376.5</v>
      </c>
      <c r="G164" s="86">
        <f>'[4]Свод.'!M17</f>
        <v>985988.6400000001</v>
      </c>
      <c r="H164" s="86">
        <f>'[5]Свод.'!N17</f>
        <v>4929913.54</v>
      </c>
      <c r="I164" s="86">
        <f>'[6]Свод.'!AR17</f>
        <v>6152976.829999998</v>
      </c>
      <c r="J164" s="84">
        <f t="shared" si="3"/>
        <v>5698793.850000001</v>
      </c>
      <c r="K164" s="84">
        <f t="shared" si="4"/>
        <v>32371708.099999998</v>
      </c>
      <c r="L164" s="95"/>
      <c r="M164" s="95"/>
      <c r="N164" s="95"/>
      <c r="O164" s="95"/>
      <c r="P164" s="95"/>
      <c r="Q164" s="95"/>
      <c r="R164" s="95"/>
      <c r="S164" s="95"/>
      <c r="T164" s="95"/>
    </row>
    <row r="165" spans="1:20" ht="15">
      <c r="A165" s="6" t="s">
        <v>45</v>
      </c>
      <c r="B165" s="15" t="s">
        <v>46</v>
      </c>
      <c r="C165" s="83" t="s">
        <v>16</v>
      </c>
      <c r="D165" s="86">
        <f>'[1]Свод.'!BA18</f>
        <v>0</v>
      </c>
      <c r="E165" s="86">
        <f>'[2]Свод.'!AF18</f>
        <v>0</v>
      </c>
      <c r="F165" s="86">
        <f>'[3]Свод.'!O18</f>
        <v>0</v>
      </c>
      <c r="G165" s="86">
        <f>'[4]Свод.'!M18</f>
        <v>0</v>
      </c>
      <c r="H165" s="86">
        <f>'[5]Свод.'!N18</f>
        <v>0</v>
      </c>
      <c r="I165" s="86">
        <f>'[6]Свод.'!AR18</f>
        <v>0</v>
      </c>
      <c r="J165" s="84">
        <f t="shared" si="3"/>
        <v>0</v>
      </c>
      <c r="K165" s="84">
        <f t="shared" si="4"/>
        <v>0</v>
      </c>
      <c r="L165" s="95"/>
      <c r="M165" s="95"/>
      <c r="N165" s="95"/>
      <c r="O165" s="95"/>
      <c r="P165" s="95"/>
      <c r="Q165" s="95"/>
      <c r="R165" s="95"/>
      <c r="S165" s="95"/>
      <c r="T165" s="95"/>
    </row>
    <row r="166" spans="1:20" ht="15">
      <c r="A166" s="6" t="s">
        <v>47</v>
      </c>
      <c r="B166" s="15" t="s">
        <v>48</v>
      </c>
      <c r="C166" s="83" t="s">
        <v>16</v>
      </c>
      <c r="D166" s="86">
        <f>'[1]Свод.'!BA19</f>
        <v>3298408.63</v>
      </c>
      <c r="E166" s="86">
        <f>'[2]Свод.'!AF19</f>
        <v>6808922.659999999</v>
      </c>
      <c r="F166" s="86">
        <f>'[3]Свод.'!O19</f>
        <v>4240376.5</v>
      </c>
      <c r="G166" s="86">
        <f>'[4]Свод.'!M19</f>
        <v>985988.6400000001</v>
      </c>
      <c r="H166" s="86">
        <f>'[5]Свод.'!N19</f>
        <v>4929913.54</v>
      </c>
      <c r="I166" s="86">
        <f>'[6]Свод.'!AR19</f>
        <v>6152976.829999998</v>
      </c>
      <c r="J166" s="84">
        <f t="shared" si="3"/>
        <v>5698793.850000001</v>
      </c>
      <c r="K166" s="84">
        <f t="shared" si="4"/>
        <v>32115380.65</v>
      </c>
      <c r="L166" s="95"/>
      <c r="M166" s="95"/>
      <c r="N166" s="95"/>
      <c r="O166" s="95"/>
      <c r="P166" s="95"/>
      <c r="Q166" s="95"/>
      <c r="R166" s="95"/>
      <c r="S166" s="95"/>
      <c r="T166" s="95"/>
    </row>
    <row r="167" spans="1:20" ht="15">
      <c r="A167" s="108" t="s">
        <v>49</v>
      </c>
      <c r="B167" s="109"/>
      <c r="C167" s="109"/>
      <c r="D167" s="86">
        <f>'[1]Свод.'!BA20</f>
        <v>0</v>
      </c>
      <c r="E167" s="86">
        <f>'[2]Свод.'!AF20</f>
        <v>0</v>
      </c>
      <c r="F167" s="86">
        <f>'[3]Свод.'!O20</f>
        <v>0</v>
      </c>
      <c r="G167" s="86">
        <f>'[4]Свод.'!M20</f>
        <v>0</v>
      </c>
      <c r="H167" s="86">
        <f>'[5]Свод.'!N20</f>
        <v>0</v>
      </c>
      <c r="I167" s="86">
        <f>'[6]Свод.'!AR20</f>
        <v>0</v>
      </c>
      <c r="J167" s="84">
        <f t="shared" si="3"/>
        <v>0</v>
      </c>
      <c r="K167" s="84">
        <f t="shared" si="4"/>
        <v>0</v>
      </c>
      <c r="L167" s="95"/>
      <c r="M167" s="95"/>
      <c r="N167" s="95"/>
      <c r="O167" s="95"/>
      <c r="P167" s="95"/>
      <c r="Q167" s="95"/>
      <c r="R167" s="95"/>
      <c r="S167" s="95"/>
      <c r="T167" s="95"/>
    </row>
    <row r="168" spans="1:20" ht="15">
      <c r="A168" s="6"/>
      <c r="B168" s="7" t="s">
        <v>50</v>
      </c>
      <c r="C168" s="81"/>
      <c r="D168" s="86">
        <f>'[1]Свод.'!BA21</f>
        <v>0</v>
      </c>
      <c r="E168" s="86">
        <f>'[2]Свод.'!AF21</f>
        <v>0</v>
      </c>
      <c r="F168" s="86">
        <f>'[3]Свод.'!O21</f>
        <v>0</v>
      </c>
      <c r="G168" s="86">
        <f>'[4]Свод.'!M21</f>
        <v>0</v>
      </c>
      <c r="H168" s="86">
        <f>'[5]Свод.'!N21</f>
        <v>0</v>
      </c>
      <c r="I168" s="86">
        <f>'[6]Свод.'!AR21</f>
        <v>0</v>
      </c>
      <c r="J168" s="84">
        <f t="shared" si="3"/>
        <v>0</v>
      </c>
      <c r="K168" s="84">
        <f t="shared" si="4"/>
        <v>0</v>
      </c>
      <c r="L168" s="95"/>
      <c r="M168" s="95"/>
      <c r="N168" s="95"/>
      <c r="O168" s="95"/>
      <c r="P168" s="95"/>
      <c r="Q168" s="95"/>
      <c r="R168" s="95"/>
      <c r="S168" s="95"/>
      <c r="T168" s="95"/>
    </row>
    <row r="169" spans="1:20" ht="15">
      <c r="A169" s="6" t="s">
        <v>51</v>
      </c>
      <c r="B169" s="16" t="s">
        <v>52</v>
      </c>
      <c r="C169" s="83" t="s">
        <v>7</v>
      </c>
      <c r="D169" s="86" t="str">
        <f>'[1]Свод.'!BA22</f>
        <v>см.форму 2.3.</v>
      </c>
      <c r="E169" s="86">
        <f>'[2]Свод.'!AF22</f>
        <v>0</v>
      </c>
      <c r="F169" s="86">
        <f>'[3]Свод.'!O22</f>
        <v>0</v>
      </c>
      <c r="G169" s="86">
        <f>'[4]Свод.'!M22</f>
        <v>0</v>
      </c>
      <c r="H169" s="86">
        <f>'[5]Свод.'!N22</f>
        <v>0</v>
      </c>
      <c r="I169" s="86">
        <f>'[6]Свод.'!AR22</f>
        <v>0</v>
      </c>
      <c r="J169" s="84">
        <f t="shared" si="3"/>
        <v>0</v>
      </c>
      <c r="K169" s="84">
        <f t="shared" si="4"/>
        <v>0</v>
      </c>
      <c r="L169" s="95"/>
      <c r="M169" s="95"/>
      <c r="N169" s="95"/>
      <c r="O169" s="95"/>
      <c r="P169" s="95"/>
      <c r="Q169" s="95"/>
      <c r="R169" s="95"/>
      <c r="S169" s="95"/>
      <c r="T169" s="95"/>
    </row>
    <row r="170" spans="1:20" ht="15">
      <c r="A170" s="6" t="s">
        <v>54</v>
      </c>
      <c r="B170" s="16" t="s">
        <v>55</v>
      </c>
      <c r="C170" s="83" t="s">
        <v>7</v>
      </c>
      <c r="D170" s="86" t="str">
        <f>'[1]Свод.'!BA23</f>
        <v>см.форму 2.3.</v>
      </c>
      <c r="E170" s="86">
        <f>'[2]Свод.'!AF23</f>
        <v>0</v>
      </c>
      <c r="F170" s="86">
        <f>'[3]Свод.'!O23</f>
        <v>0</v>
      </c>
      <c r="G170" s="86">
        <f>'[4]Свод.'!M23</f>
        <v>0</v>
      </c>
      <c r="H170" s="86">
        <f>'[5]Свод.'!N23</f>
        <v>0</v>
      </c>
      <c r="I170" s="86">
        <f>'[6]Свод.'!AR23</f>
        <v>0</v>
      </c>
      <c r="J170" s="84">
        <f t="shared" si="3"/>
        <v>0</v>
      </c>
      <c r="K170" s="84">
        <f t="shared" si="4"/>
        <v>0</v>
      </c>
      <c r="L170" s="95"/>
      <c r="M170" s="95"/>
      <c r="N170" s="95"/>
      <c r="O170" s="95"/>
      <c r="P170" s="95"/>
      <c r="Q170" s="95"/>
      <c r="R170" s="95"/>
      <c r="S170" s="95"/>
      <c r="T170" s="95"/>
    </row>
    <row r="171" spans="1:20" ht="15">
      <c r="A171" s="6" t="s">
        <v>56</v>
      </c>
      <c r="B171" s="16" t="s">
        <v>57</v>
      </c>
      <c r="C171" s="83" t="s">
        <v>7</v>
      </c>
      <c r="D171" s="86" t="str">
        <f>'[1]Свод.'!BA24</f>
        <v>см.форму 2.3.</v>
      </c>
      <c r="E171" s="86">
        <f>'[2]Свод.'!AF24</f>
        <v>0</v>
      </c>
      <c r="F171" s="86">
        <f>'[3]Свод.'!O24</f>
        <v>0</v>
      </c>
      <c r="G171" s="86">
        <f>'[4]Свод.'!M24</f>
        <v>0</v>
      </c>
      <c r="H171" s="86">
        <f>'[5]Свод.'!N24</f>
        <v>0</v>
      </c>
      <c r="I171" s="86">
        <f>'[6]Свод.'!AR24</f>
        <v>0</v>
      </c>
      <c r="J171" s="84">
        <f t="shared" si="3"/>
        <v>0</v>
      </c>
      <c r="K171" s="84">
        <f t="shared" si="4"/>
        <v>0</v>
      </c>
      <c r="L171" s="95"/>
      <c r="M171" s="95"/>
      <c r="N171" s="95"/>
      <c r="O171" s="95"/>
      <c r="P171" s="95"/>
      <c r="Q171" s="95"/>
      <c r="R171" s="95"/>
      <c r="S171" s="95"/>
      <c r="T171" s="95"/>
    </row>
    <row r="172" spans="1:20" ht="15">
      <c r="A172" s="6"/>
      <c r="B172" s="7" t="s">
        <v>58</v>
      </c>
      <c r="C172" s="83"/>
      <c r="D172" s="86">
        <f>'[1]Свод.'!BA25</f>
        <v>0</v>
      </c>
      <c r="E172" s="86">
        <f>'[2]Свод.'!AF25</f>
        <v>0</v>
      </c>
      <c r="F172" s="86">
        <f>'[3]Свод.'!O25</f>
        <v>0</v>
      </c>
      <c r="G172" s="86">
        <f>'[4]Свод.'!M25</f>
        <v>0</v>
      </c>
      <c r="H172" s="86">
        <f>'[5]Свод.'!N25</f>
        <v>0</v>
      </c>
      <c r="I172" s="86">
        <f>'[6]Свод.'!AR25</f>
        <v>0</v>
      </c>
      <c r="J172" s="84">
        <f t="shared" si="3"/>
        <v>0</v>
      </c>
      <c r="K172" s="84">
        <f t="shared" si="4"/>
        <v>0</v>
      </c>
      <c r="L172" s="95"/>
      <c r="M172" s="95"/>
      <c r="N172" s="95"/>
      <c r="O172" s="95"/>
      <c r="P172" s="95"/>
      <c r="Q172" s="95"/>
      <c r="R172" s="95"/>
      <c r="S172" s="95"/>
      <c r="T172" s="95"/>
    </row>
    <row r="173" spans="1:20" ht="15">
      <c r="A173" s="19" t="s">
        <v>59</v>
      </c>
      <c r="B173" s="16" t="s">
        <v>52</v>
      </c>
      <c r="C173" s="83" t="s">
        <v>7</v>
      </c>
      <c r="D173" s="86">
        <f>'[1]Свод.'!BA26</f>
        <v>0</v>
      </c>
      <c r="E173" s="86">
        <f>'[2]Свод.'!AF26</f>
        <v>0</v>
      </c>
      <c r="F173" s="86">
        <f>'[3]Свод.'!O26</f>
        <v>0</v>
      </c>
      <c r="G173" s="86">
        <f>'[4]Свод.'!M26</f>
        <v>0</v>
      </c>
      <c r="H173" s="86">
        <f>'[5]Свод.'!N26</f>
        <v>0</v>
      </c>
      <c r="I173" s="86">
        <f>'[6]Свод.'!AR26</f>
        <v>0</v>
      </c>
      <c r="J173" s="84">
        <f t="shared" si="3"/>
        <v>0</v>
      </c>
      <c r="K173" s="84">
        <f t="shared" si="4"/>
        <v>0</v>
      </c>
      <c r="L173" s="95"/>
      <c r="M173" s="95"/>
      <c r="N173" s="95"/>
      <c r="O173" s="95"/>
      <c r="P173" s="95"/>
      <c r="Q173" s="95"/>
      <c r="R173" s="95"/>
      <c r="S173" s="95"/>
      <c r="T173" s="95"/>
    </row>
    <row r="174" spans="1:20" ht="15">
      <c r="A174" s="19" t="s">
        <v>60</v>
      </c>
      <c r="B174" s="16" t="s">
        <v>55</v>
      </c>
      <c r="C174" s="83" t="s">
        <v>7</v>
      </c>
      <c r="D174" s="86">
        <f>'[1]Свод.'!BA27</f>
        <v>0</v>
      </c>
      <c r="E174" s="86">
        <f>'[2]Свод.'!AF27</f>
        <v>0</v>
      </c>
      <c r="F174" s="86">
        <f>'[3]Свод.'!O27</f>
        <v>0</v>
      </c>
      <c r="G174" s="86">
        <f>'[4]Свод.'!M27</f>
        <v>0</v>
      </c>
      <c r="H174" s="86">
        <f>'[5]Свод.'!N27</f>
        <v>0</v>
      </c>
      <c r="I174" s="86">
        <f>'[6]Свод.'!AR27</f>
        <v>0</v>
      </c>
      <c r="J174" s="84">
        <f t="shared" si="3"/>
        <v>0</v>
      </c>
      <c r="K174" s="84">
        <f t="shared" si="4"/>
        <v>0</v>
      </c>
      <c r="L174" s="95"/>
      <c r="M174" s="95"/>
      <c r="N174" s="95"/>
      <c r="O174" s="95"/>
      <c r="P174" s="95"/>
      <c r="Q174" s="95"/>
      <c r="R174" s="95"/>
      <c r="S174" s="95"/>
      <c r="T174" s="95"/>
    </row>
    <row r="175" spans="1:20" ht="15">
      <c r="A175" s="19" t="s">
        <v>61</v>
      </c>
      <c r="B175" s="16" t="s">
        <v>57</v>
      </c>
      <c r="C175" s="83" t="s">
        <v>7</v>
      </c>
      <c r="D175" s="86">
        <f>'[1]Свод.'!BA28</f>
        <v>0</v>
      </c>
      <c r="E175" s="86">
        <f>'[2]Свод.'!AF28</f>
        <v>0</v>
      </c>
      <c r="F175" s="86">
        <f>'[3]Свод.'!O28</f>
        <v>0</v>
      </c>
      <c r="G175" s="86">
        <f>'[4]Свод.'!M28</f>
        <v>0</v>
      </c>
      <c r="H175" s="86">
        <f>'[5]Свод.'!N28</f>
        <v>0</v>
      </c>
      <c r="I175" s="86">
        <f>'[6]Свод.'!AR28</f>
        <v>0</v>
      </c>
      <c r="J175" s="84">
        <f t="shared" si="3"/>
        <v>0</v>
      </c>
      <c r="K175" s="84">
        <f t="shared" si="4"/>
        <v>0</v>
      </c>
      <c r="L175" s="95"/>
      <c r="M175" s="95"/>
      <c r="N175" s="95"/>
      <c r="O175" s="95"/>
      <c r="P175" s="95"/>
      <c r="Q175" s="95"/>
      <c r="R175" s="95"/>
      <c r="S175" s="95"/>
      <c r="T175" s="95"/>
    </row>
    <row r="176" spans="1:20" ht="15">
      <c r="A176" s="104" t="s">
        <v>62</v>
      </c>
      <c r="B176" s="105"/>
      <c r="C176" s="105"/>
      <c r="D176" s="86">
        <f>'[1]Свод.'!BA29</f>
        <v>0</v>
      </c>
      <c r="E176" s="86">
        <f>'[2]Свод.'!AF29</f>
        <v>0</v>
      </c>
      <c r="F176" s="86">
        <f>'[3]Свод.'!O29</f>
        <v>0</v>
      </c>
      <c r="G176" s="86">
        <f>'[4]Свод.'!M29</f>
        <v>0</v>
      </c>
      <c r="H176" s="86">
        <f>'[5]Свод.'!N29</f>
        <v>0</v>
      </c>
      <c r="I176" s="86">
        <f>'[6]Свод.'!AR29</f>
        <v>0</v>
      </c>
      <c r="J176" s="84">
        <f t="shared" si="3"/>
        <v>0</v>
      </c>
      <c r="K176" s="84">
        <f t="shared" si="4"/>
        <v>0</v>
      </c>
      <c r="L176" s="95"/>
      <c r="M176" s="95"/>
      <c r="N176" s="95"/>
      <c r="O176" s="95"/>
      <c r="P176" s="95"/>
      <c r="Q176" s="95"/>
      <c r="R176" s="95"/>
      <c r="S176" s="95"/>
      <c r="T176" s="95"/>
    </row>
    <row r="177" spans="1:20" ht="15">
      <c r="A177" s="6" t="s">
        <v>63</v>
      </c>
      <c r="B177" s="16" t="s">
        <v>64</v>
      </c>
      <c r="C177" s="83" t="s">
        <v>65</v>
      </c>
      <c r="D177" s="86">
        <f>'[1]Свод.'!BA30</f>
        <v>0</v>
      </c>
      <c r="E177" s="86">
        <f>'[2]Свод.'!AF30</f>
        <v>0</v>
      </c>
      <c r="F177" s="86">
        <f>'[3]Свод.'!O30</f>
        <v>0</v>
      </c>
      <c r="G177" s="86">
        <f>'[4]Свод.'!M30</f>
        <v>0</v>
      </c>
      <c r="H177" s="86">
        <f>'[5]Свод.'!N30</f>
        <v>0</v>
      </c>
      <c r="I177" s="86">
        <f>'[6]Свод.'!AR30</f>
        <v>0</v>
      </c>
      <c r="J177" s="84">
        <f t="shared" si="3"/>
        <v>0</v>
      </c>
      <c r="K177" s="84">
        <f t="shared" si="4"/>
        <v>0</v>
      </c>
      <c r="L177" s="95"/>
      <c r="M177" s="95"/>
      <c r="N177" s="95"/>
      <c r="O177" s="95"/>
      <c r="P177" s="95"/>
      <c r="Q177" s="95"/>
      <c r="R177" s="95"/>
      <c r="S177" s="95"/>
      <c r="T177" s="95"/>
    </row>
    <row r="178" spans="1:20" ht="15">
      <c r="A178" s="6" t="s">
        <v>66</v>
      </c>
      <c r="B178" s="16" t="s">
        <v>67</v>
      </c>
      <c r="C178" s="83" t="s">
        <v>65</v>
      </c>
      <c r="D178" s="86">
        <f>'[1]Свод.'!BA31</f>
        <v>0</v>
      </c>
      <c r="E178" s="86">
        <f>'[2]Свод.'!AF31</f>
        <v>0</v>
      </c>
      <c r="F178" s="86">
        <f>'[3]Свод.'!O31</f>
        <v>0</v>
      </c>
      <c r="G178" s="86">
        <f>'[4]Свод.'!M31</f>
        <v>0</v>
      </c>
      <c r="H178" s="86">
        <f>'[5]Свод.'!N31</f>
        <v>0</v>
      </c>
      <c r="I178" s="86">
        <f>'[6]Свод.'!AR31</f>
        <v>0</v>
      </c>
      <c r="J178" s="84">
        <f t="shared" si="3"/>
        <v>0</v>
      </c>
      <c r="K178" s="84">
        <f t="shared" si="4"/>
        <v>0</v>
      </c>
      <c r="L178" s="95"/>
      <c r="M178" s="95"/>
      <c r="N178" s="95"/>
      <c r="O178" s="95"/>
      <c r="P178" s="95"/>
      <c r="Q178" s="95"/>
      <c r="R178" s="95"/>
      <c r="S178" s="95"/>
      <c r="T178" s="95"/>
    </row>
    <row r="179" spans="1:20" ht="30">
      <c r="A179" s="6" t="s">
        <v>68</v>
      </c>
      <c r="B179" s="16" t="s">
        <v>69</v>
      </c>
      <c r="C179" s="83" t="s">
        <v>65</v>
      </c>
      <c r="D179" s="86">
        <f>'[1]Свод.'!BA32</f>
        <v>0</v>
      </c>
      <c r="E179" s="86">
        <f>'[2]Свод.'!AF32</f>
        <v>0</v>
      </c>
      <c r="F179" s="86">
        <f>'[3]Свод.'!O32</f>
        <v>0</v>
      </c>
      <c r="G179" s="86">
        <f>'[4]Свод.'!M32</f>
        <v>0</v>
      </c>
      <c r="H179" s="86">
        <f>'[5]Свод.'!N32</f>
        <v>0</v>
      </c>
      <c r="I179" s="86">
        <f>'[6]Свод.'!AR32</f>
        <v>0</v>
      </c>
      <c r="J179" s="84">
        <f t="shared" si="3"/>
        <v>0</v>
      </c>
      <c r="K179" s="84">
        <f t="shared" si="4"/>
        <v>0</v>
      </c>
      <c r="L179" s="95"/>
      <c r="M179" s="95"/>
      <c r="N179" s="95"/>
      <c r="O179" s="95"/>
      <c r="P179" s="95"/>
      <c r="Q179" s="95"/>
      <c r="R179" s="95"/>
      <c r="S179" s="95"/>
      <c r="T179" s="95"/>
    </row>
    <row r="180" spans="1:20" ht="15">
      <c r="A180" s="6" t="s">
        <v>70</v>
      </c>
      <c r="B180" s="16" t="s">
        <v>71</v>
      </c>
      <c r="C180" s="83" t="s">
        <v>16</v>
      </c>
      <c r="D180" s="86">
        <f>'[1]Свод.'!BA33</f>
        <v>0</v>
      </c>
      <c r="E180" s="86">
        <f>'[2]Свод.'!AF33</f>
        <v>0</v>
      </c>
      <c r="F180" s="86">
        <f>'[3]Свод.'!O33</f>
        <v>0</v>
      </c>
      <c r="G180" s="86">
        <f>'[4]Свод.'!M33</f>
        <v>0</v>
      </c>
      <c r="H180" s="86">
        <f>'[5]Свод.'!N33</f>
        <v>0</v>
      </c>
      <c r="I180" s="86">
        <f>'[6]Свод.'!AR33</f>
        <v>0</v>
      </c>
      <c r="J180" s="84">
        <f t="shared" si="3"/>
        <v>0</v>
      </c>
      <c r="K180" s="84">
        <f t="shared" si="4"/>
        <v>0</v>
      </c>
      <c r="L180" s="95"/>
      <c r="M180" s="95"/>
      <c r="N180" s="95"/>
      <c r="O180" s="95"/>
      <c r="P180" s="95"/>
      <c r="Q180" s="95"/>
      <c r="R180" s="95"/>
      <c r="S180" s="95"/>
      <c r="T180" s="95"/>
    </row>
    <row r="181" spans="1:20" ht="15">
      <c r="A181" s="107" t="s">
        <v>72</v>
      </c>
      <c r="B181" s="107"/>
      <c r="C181" s="104"/>
      <c r="D181" s="86">
        <f>'[1]Свод.'!BA34</f>
        <v>0</v>
      </c>
      <c r="E181" s="86">
        <f>'[2]Свод.'!AF34</f>
        <v>0</v>
      </c>
      <c r="F181" s="86">
        <f>'[3]Свод.'!O34</f>
        <v>0</v>
      </c>
      <c r="G181" s="86">
        <f>'[4]Свод.'!M34</f>
        <v>0</v>
      </c>
      <c r="H181" s="86">
        <f>'[5]Свод.'!N34</f>
        <v>0</v>
      </c>
      <c r="I181" s="86">
        <f>'[6]Свод.'!AR34</f>
        <v>0</v>
      </c>
      <c r="J181" s="84">
        <f t="shared" si="3"/>
        <v>0</v>
      </c>
      <c r="K181" s="84">
        <f t="shared" si="4"/>
        <v>0</v>
      </c>
      <c r="L181" s="95"/>
      <c r="M181" s="95"/>
      <c r="N181" s="95"/>
      <c r="O181" s="95"/>
      <c r="P181" s="95"/>
      <c r="Q181" s="95"/>
      <c r="R181" s="95"/>
      <c r="S181" s="95"/>
      <c r="T181" s="95"/>
    </row>
    <row r="182" spans="1:20" ht="30">
      <c r="A182" s="6" t="s">
        <v>73</v>
      </c>
      <c r="B182" s="16" t="s">
        <v>74</v>
      </c>
      <c r="C182" s="83" t="s">
        <v>16</v>
      </c>
      <c r="D182" s="86">
        <f>'[1]Свод.'!BA35</f>
        <v>1161934.86</v>
      </c>
      <c r="E182" s="86">
        <f>'[2]Свод.'!AF35</f>
        <v>2485230.59</v>
      </c>
      <c r="F182" s="86">
        <f>'[3]Свод.'!O35</f>
        <v>519660.37</v>
      </c>
      <c r="G182" s="86">
        <f>'[4]Свод.'!M35</f>
        <v>121943.19</v>
      </c>
      <c r="H182" s="86">
        <f>'[5]Свод.'!N35</f>
        <v>1808826.48</v>
      </c>
      <c r="I182" s="86">
        <f>'[6]Свод.'!AR35</f>
        <v>3427007.64</v>
      </c>
      <c r="J182" s="84">
        <f t="shared" si="3"/>
        <v>2382909.9799999995</v>
      </c>
      <c r="K182" s="84">
        <f t="shared" si="4"/>
        <v>11907513.11</v>
      </c>
      <c r="L182" s="95"/>
      <c r="M182" s="95"/>
      <c r="N182" s="95"/>
      <c r="O182" s="95"/>
      <c r="P182" s="95"/>
      <c r="Q182" s="95"/>
      <c r="R182" s="95"/>
      <c r="S182" s="95"/>
      <c r="T182" s="95"/>
    </row>
    <row r="183" spans="1:20" ht="15">
      <c r="A183" s="6" t="s">
        <v>75</v>
      </c>
      <c r="B183" s="15" t="s">
        <v>18</v>
      </c>
      <c r="C183" s="83" t="s">
        <v>16</v>
      </c>
      <c r="D183" s="86">
        <f>'[1]Свод.'!BA36</f>
        <v>16266.57</v>
      </c>
      <c r="E183" s="86">
        <f>'[2]Свод.'!AF36</f>
        <v>0</v>
      </c>
      <c r="F183" s="86">
        <f>'[3]Свод.'!O36</f>
        <v>0</v>
      </c>
      <c r="G183" s="86">
        <f>'[4]Свод.'!M36</f>
        <v>0</v>
      </c>
      <c r="H183" s="86">
        <f>'[5]Свод.'!N36</f>
        <v>0</v>
      </c>
      <c r="I183" s="86">
        <f>'[6]Свод.'!AR36</f>
        <v>0</v>
      </c>
      <c r="J183" s="84">
        <f t="shared" si="3"/>
        <v>0</v>
      </c>
      <c r="K183" s="84">
        <f t="shared" si="4"/>
        <v>16266.57</v>
      </c>
      <c r="L183" s="95"/>
      <c r="M183" s="95"/>
      <c r="N183" s="95"/>
      <c r="O183" s="95"/>
      <c r="P183" s="95"/>
      <c r="Q183" s="95"/>
      <c r="R183" s="95"/>
      <c r="S183" s="95"/>
      <c r="T183" s="95"/>
    </row>
    <row r="184" spans="1:20" ht="15">
      <c r="A184" s="6" t="s">
        <v>76</v>
      </c>
      <c r="B184" s="15" t="s">
        <v>20</v>
      </c>
      <c r="C184" s="83" t="s">
        <v>16</v>
      </c>
      <c r="D184" s="86">
        <f>'[1]Свод.'!BA37</f>
        <v>1178201.43</v>
      </c>
      <c r="E184" s="86">
        <f>'[2]Свод.'!AF37</f>
        <v>2421670.3600000003</v>
      </c>
      <c r="F184" s="86">
        <f>'[3]Свод.'!O37</f>
        <v>519660.37</v>
      </c>
      <c r="G184" s="86">
        <f>'[4]Свод.'!M37</f>
        <v>121943.19</v>
      </c>
      <c r="H184" s="86">
        <f>'[5]Свод.'!N37</f>
        <v>1808826.48</v>
      </c>
      <c r="I184" s="86">
        <f>'[6]Свод.'!AR37</f>
        <v>3427007.64</v>
      </c>
      <c r="J184" s="84">
        <f t="shared" si="3"/>
        <v>2382909.9799999995</v>
      </c>
      <c r="K184" s="84">
        <f t="shared" si="4"/>
        <v>11860219.45</v>
      </c>
      <c r="L184" s="95"/>
      <c r="M184" s="95"/>
      <c r="N184" s="95"/>
      <c r="O184" s="95"/>
      <c r="P184" s="95"/>
      <c r="Q184" s="95"/>
      <c r="R184" s="95"/>
      <c r="S184" s="95"/>
      <c r="T184" s="95"/>
    </row>
    <row r="185" spans="1:20" ht="30">
      <c r="A185" s="6" t="s">
        <v>77</v>
      </c>
      <c r="B185" s="16" t="s">
        <v>78</v>
      </c>
      <c r="C185" s="83" t="s">
        <v>16</v>
      </c>
      <c r="D185" s="86">
        <f>'[1]Свод.'!BA38</f>
        <v>1658551.8500000006</v>
      </c>
      <c r="E185" s="86">
        <f>'[2]Свод.'!AF38</f>
        <v>2750302.96</v>
      </c>
      <c r="F185" s="86">
        <f>'[3]Свод.'!O38</f>
        <v>-44328.33999999997</v>
      </c>
      <c r="G185" s="86">
        <f>'[4]Свод.'!M38</f>
        <v>447804.83999999997</v>
      </c>
      <c r="H185" s="86">
        <f>'[5]Свод.'!N38</f>
        <v>3565795.0900000003</v>
      </c>
      <c r="I185" s="86">
        <f>'[6]Свод.'!AR38</f>
        <v>3805178.1109999996</v>
      </c>
      <c r="J185" s="84">
        <f t="shared" si="3"/>
        <v>3770855.06</v>
      </c>
      <c r="K185" s="84">
        <f t="shared" si="4"/>
        <v>15954159.571</v>
      </c>
      <c r="L185" s="95"/>
      <c r="M185" s="95"/>
      <c r="N185" s="95"/>
      <c r="O185" s="95"/>
      <c r="P185" s="95"/>
      <c r="Q185" s="95"/>
      <c r="R185" s="95"/>
      <c r="S185" s="95"/>
      <c r="T185" s="95"/>
    </row>
    <row r="186" spans="1:20" ht="15">
      <c r="A186" s="6" t="s">
        <v>79</v>
      </c>
      <c r="B186" s="15" t="s">
        <v>18</v>
      </c>
      <c r="C186" s="83" t="s">
        <v>16</v>
      </c>
      <c r="D186" s="86">
        <f>'[1]Свод.'!BA39</f>
        <v>223486.91</v>
      </c>
      <c r="E186" s="86">
        <f>'[2]Свод.'!AF39</f>
        <v>2363395.5900000003</v>
      </c>
      <c r="F186" s="86">
        <f>'[3]Свод.'!O39</f>
        <v>1337761.8900000001</v>
      </c>
      <c r="G186" s="86">
        <f>'[4]Свод.'!M39</f>
        <v>0</v>
      </c>
      <c r="H186" s="86">
        <f>'[5]Свод.'!N39</f>
        <v>0</v>
      </c>
      <c r="I186" s="86">
        <f>'[6]Свод.'!AR39</f>
        <v>0</v>
      </c>
      <c r="J186" s="84">
        <f t="shared" si="3"/>
        <v>0</v>
      </c>
      <c r="K186" s="84">
        <f t="shared" si="4"/>
        <v>3924644.3900000006</v>
      </c>
      <c r="L186" s="95"/>
      <c r="M186" s="95"/>
      <c r="N186" s="95"/>
      <c r="O186" s="95"/>
      <c r="P186" s="95"/>
      <c r="Q186" s="95"/>
      <c r="R186" s="95"/>
      <c r="S186" s="95"/>
      <c r="T186" s="95"/>
    </row>
    <row r="187" spans="1:20" ht="15">
      <c r="A187" s="6" t="s">
        <v>80</v>
      </c>
      <c r="B187" s="15" t="s">
        <v>20</v>
      </c>
      <c r="C187" s="83" t="s">
        <v>16</v>
      </c>
      <c r="D187" s="86">
        <f>'[1]Свод.'!BA40</f>
        <v>1882038.76</v>
      </c>
      <c r="E187" s="86">
        <f>'[2]Свод.'!AF40</f>
        <v>5113698.552999999</v>
      </c>
      <c r="F187" s="86">
        <f>'[3]Свод.'!O40</f>
        <v>1293433.537</v>
      </c>
      <c r="G187" s="86">
        <f>'[4]Свод.'!M40</f>
        <v>447804.83999999997</v>
      </c>
      <c r="H187" s="86">
        <f>'[5]Свод.'!N40</f>
        <v>3565795.0900000003</v>
      </c>
      <c r="I187" s="86">
        <f>'[6]Свод.'!AR40</f>
        <v>3706197.1609999994</v>
      </c>
      <c r="J187" s="84">
        <f t="shared" si="3"/>
        <v>3770854.9799999995</v>
      </c>
      <c r="K187" s="84">
        <f t="shared" si="4"/>
        <v>19779822.921</v>
      </c>
      <c r="L187" s="95"/>
      <c r="M187" s="95"/>
      <c r="N187" s="95"/>
      <c r="O187" s="95"/>
      <c r="P187" s="95"/>
      <c r="Q187" s="95"/>
      <c r="R187" s="95"/>
      <c r="S187" s="95"/>
      <c r="T187" s="95"/>
    </row>
    <row r="188" spans="1:20" ht="15">
      <c r="A188" s="104" t="s">
        <v>81</v>
      </c>
      <c r="B188" s="105"/>
      <c r="C188" s="105"/>
      <c r="D188" s="86">
        <f>'[1]Свод.'!BA41</f>
        <v>0</v>
      </c>
      <c r="E188" s="86">
        <f>'[2]Свод.'!AF41</f>
        <v>0</v>
      </c>
      <c r="F188" s="86">
        <f>'[3]Свод.'!O41</f>
        <v>0</v>
      </c>
      <c r="G188" s="86">
        <f>'[4]Свод.'!M41</f>
        <v>0</v>
      </c>
      <c r="H188" s="86">
        <f>'[5]Свод.'!N41</f>
        <v>0</v>
      </c>
      <c r="I188" s="86">
        <f>'[6]Свод.'!AR41</f>
        <v>0</v>
      </c>
      <c r="J188" s="84">
        <f t="shared" si="3"/>
        <v>0</v>
      </c>
      <c r="K188" s="84">
        <f t="shared" si="4"/>
        <v>0</v>
      </c>
      <c r="L188" s="95"/>
      <c r="M188" s="95"/>
      <c r="N188" s="95"/>
      <c r="O188" s="95"/>
      <c r="P188" s="95"/>
      <c r="Q188" s="95"/>
      <c r="R188" s="95"/>
      <c r="S188" s="95"/>
      <c r="T188" s="95"/>
    </row>
    <row r="189" spans="1:20" ht="15">
      <c r="A189" s="6" t="s">
        <v>82</v>
      </c>
      <c r="B189" s="16" t="s">
        <v>83</v>
      </c>
      <c r="C189" s="83" t="s">
        <v>7</v>
      </c>
      <c r="D189" s="86" t="str">
        <f>'[1]Свод.'!BA42</f>
        <v>Холодное водоснабжение</v>
      </c>
      <c r="E189" s="86" t="str">
        <f>'[2]Свод.'!AF42</f>
        <v>Холодное водоснабжение</v>
      </c>
      <c r="F189" s="86" t="str">
        <f>'[3]Свод.'!O42</f>
        <v>Холодное водоснабжение</v>
      </c>
      <c r="G189" s="86" t="str">
        <f>'[4]Свод.'!M42</f>
        <v>Холодное водоснабжение</v>
      </c>
      <c r="H189" s="86" t="str">
        <f>'[5]Свод.'!N42</f>
        <v>Холодное водоснабжение</v>
      </c>
      <c r="I189" s="86">
        <f>'[6]Свод.'!AR42</f>
        <v>0</v>
      </c>
      <c r="J189" s="84">
        <f t="shared" si="3"/>
        <v>0</v>
      </c>
      <c r="K189" s="84">
        <f t="shared" si="4"/>
        <v>0</v>
      </c>
      <c r="L189" s="95"/>
      <c r="M189" s="95"/>
      <c r="N189" s="95"/>
      <c r="O189" s="95"/>
      <c r="P189" s="95"/>
      <c r="Q189" s="95"/>
      <c r="R189" s="95"/>
      <c r="S189" s="95"/>
      <c r="T189" s="95"/>
    </row>
    <row r="190" spans="1:20" ht="15">
      <c r="A190" s="6" t="s">
        <v>85</v>
      </c>
      <c r="B190" s="16" t="s">
        <v>86</v>
      </c>
      <c r="C190" s="83" t="s">
        <v>7</v>
      </c>
      <c r="D190" s="86" t="str">
        <f>'[1]Свод.'!BA43</f>
        <v>куб.м</v>
      </c>
      <c r="E190" s="86">
        <f>'[2]Свод.'!AF43</f>
        <v>0</v>
      </c>
      <c r="F190" s="86">
        <f>'[3]Свод.'!O43</f>
        <v>0</v>
      </c>
      <c r="G190" s="86">
        <f>'[4]Свод.'!M43</f>
        <v>0</v>
      </c>
      <c r="H190" s="86">
        <f>'[5]Свод.'!N43</f>
        <v>0</v>
      </c>
      <c r="I190" s="86">
        <f>'[6]Свод.'!AR43</f>
        <v>0</v>
      </c>
      <c r="J190" s="84">
        <f t="shared" si="3"/>
        <v>0</v>
      </c>
      <c r="K190" s="84">
        <f t="shared" si="4"/>
        <v>0</v>
      </c>
      <c r="L190" s="95"/>
      <c r="M190" s="95"/>
      <c r="N190" s="95"/>
      <c r="O190" s="95"/>
      <c r="P190" s="95"/>
      <c r="Q190" s="95"/>
      <c r="R190" s="95"/>
      <c r="S190" s="95"/>
      <c r="T190" s="95"/>
    </row>
    <row r="191" spans="1:20" ht="30">
      <c r="A191" s="6" t="s">
        <v>88</v>
      </c>
      <c r="B191" s="16" t="s">
        <v>89</v>
      </c>
      <c r="C191" s="83" t="s">
        <v>90</v>
      </c>
      <c r="D191" s="86">
        <f>'[1]Свод.'!BA44</f>
        <v>71640.65324244907</v>
      </c>
      <c r="E191" s="86">
        <f>'[2]Свод.'!AF44</f>
        <v>212904.3416652435</v>
      </c>
      <c r="F191" s="86">
        <f>'[3]Свод.'!O44</f>
        <v>55542.4369652715</v>
      </c>
      <c r="G191" s="86">
        <f>'[4]Свод.'!M44</f>
        <v>12125.229691794038</v>
      </c>
      <c r="H191" s="86">
        <f>'[5]Свод.'!N44</f>
        <v>81928.00676543082</v>
      </c>
      <c r="I191" s="86">
        <f>'[6]Свод.'!AR44</f>
        <v>76554.59131621802</v>
      </c>
      <c r="J191" s="84">
        <f t="shared" si="3"/>
        <v>178988.0420777337</v>
      </c>
      <c r="K191" s="84">
        <f t="shared" si="4"/>
        <v>689683.3017241405</v>
      </c>
      <c r="L191" s="95"/>
      <c r="M191" s="95"/>
      <c r="N191" s="95"/>
      <c r="O191" s="95"/>
      <c r="P191" s="95"/>
      <c r="Q191" s="95"/>
      <c r="R191" s="95"/>
      <c r="S191" s="95"/>
      <c r="T191" s="95"/>
    </row>
    <row r="192" spans="1:20" ht="15">
      <c r="A192" s="6" t="s">
        <v>91</v>
      </c>
      <c r="B192" s="16" t="s">
        <v>92</v>
      </c>
      <c r="C192" s="83" t="s">
        <v>16</v>
      </c>
      <c r="D192" s="86">
        <f>'[1]Свод.'!BA45</f>
        <v>1966546.3399999999</v>
      </c>
      <c r="E192" s="86">
        <f>'[2]Свод.'!AF45</f>
        <v>5789086.8100000005</v>
      </c>
      <c r="F192" s="86">
        <f>'[3]Свод.'!O45</f>
        <v>1543271.15</v>
      </c>
      <c r="G192" s="86">
        <f>'[4]Свод.'!M45</f>
        <v>338951.7</v>
      </c>
      <c r="H192" s="86">
        <f>'[5]Свод.'!N45</f>
        <v>2249609.76</v>
      </c>
      <c r="I192" s="86">
        <f>'[6]Свод.'!AR45</f>
        <v>2060291.3800000001</v>
      </c>
      <c r="J192" s="84">
        <f t="shared" si="3"/>
        <v>4875295.07</v>
      </c>
      <c r="K192" s="84">
        <f t="shared" si="4"/>
        <v>18823052.21</v>
      </c>
      <c r="L192" s="95"/>
      <c r="M192" s="95"/>
      <c r="N192" s="95"/>
      <c r="O192" s="95"/>
      <c r="P192" s="95"/>
      <c r="Q192" s="95"/>
      <c r="R192" s="95"/>
      <c r="S192" s="95"/>
      <c r="T192" s="95"/>
    </row>
    <row r="193" spans="1:20" ht="15">
      <c r="A193" s="6" t="s">
        <v>93</v>
      </c>
      <c r="B193" s="15" t="s">
        <v>94</v>
      </c>
      <c r="C193" s="83" t="s">
        <v>16</v>
      </c>
      <c r="D193" s="86">
        <f>'[1]Свод.'!BA46</f>
        <v>1849575.63</v>
      </c>
      <c r="E193" s="86">
        <f>'[2]Свод.'!AF46</f>
        <v>5749453.1899999995</v>
      </c>
      <c r="F193" s="86">
        <f>'[3]Свод.'!O46</f>
        <v>1650710.62</v>
      </c>
      <c r="G193" s="86">
        <f>'[4]Свод.'!M46</f>
        <v>278594.76</v>
      </c>
      <c r="H193" s="86">
        <f>'[5]Свод.'!N46</f>
        <v>1897358.3</v>
      </c>
      <c r="I193" s="86">
        <f>'[6]Свод.'!AR46</f>
        <v>1989225.0300000003</v>
      </c>
      <c r="J193" s="84">
        <f t="shared" si="3"/>
        <v>4638455.28</v>
      </c>
      <c r="K193" s="84">
        <f t="shared" si="4"/>
        <v>18053372.810000002</v>
      </c>
      <c r="L193" s="95"/>
      <c r="M193" s="95"/>
      <c r="N193" s="95"/>
      <c r="O193" s="95"/>
      <c r="P193" s="95"/>
      <c r="Q193" s="95"/>
      <c r="R193" s="95"/>
      <c r="S193" s="95"/>
      <c r="T193" s="95"/>
    </row>
    <row r="194" spans="1:20" ht="15">
      <c r="A194" s="6" t="s">
        <v>95</v>
      </c>
      <c r="B194" s="15" t="s">
        <v>96</v>
      </c>
      <c r="C194" s="83" t="s">
        <v>16</v>
      </c>
      <c r="D194" s="86">
        <f>'[1]Свод.'!BA47</f>
        <v>369730.55000000005</v>
      </c>
      <c r="E194" s="86">
        <f>'[2]Свод.'!AF47</f>
        <v>386561.73</v>
      </c>
      <c r="F194" s="86">
        <f>'[3]Свод.'!O47</f>
        <v>-33869.370000000024</v>
      </c>
      <c r="G194" s="86">
        <f>'[4]Свод.'!M47</f>
        <v>94664.23</v>
      </c>
      <c r="H194" s="86">
        <f>'[5]Свод.'!N47</f>
        <v>831440.67</v>
      </c>
      <c r="I194" s="86">
        <f>'[6]Свод.'!AR47</f>
        <v>867285.1699999998</v>
      </c>
      <c r="J194" s="84">
        <f t="shared" si="3"/>
        <v>646142.35</v>
      </c>
      <c r="K194" s="84">
        <f t="shared" si="4"/>
        <v>3161955.33</v>
      </c>
      <c r="L194" s="95"/>
      <c r="M194" s="95"/>
      <c r="N194" s="95"/>
      <c r="O194" s="95"/>
      <c r="P194" s="95"/>
      <c r="Q194" s="95"/>
      <c r="R194" s="95"/>
      <c r="S194" s="95"/>
      <c r="T194" s="95"/>
    </row>
    <row r="195" spans="1:20" ht="30">
      <c r="A195" s="6" t="s">
        <v>97</v>
      </c>
      <c r="B195" s="15" t="s">
        <v>98</v>
      </c>
      <c r="C195" s="83" t="s">
        <v>16</v>
      </c>
      <c r="D195" s="86">
        <f>'[1]Свод.'!BA48</f>
        <v>1992716.8099999996</v>
      </c>
      <c r="E195" s="86">
        <f>'[2]Свод.'!AF48</f>
        <v>5709097.090000001</v>
      </c>
      <c r="F195" s="86">
        <f>'[3]Свод.'!O48</f>
        <v>1456168.05</v>
      </c>
      <c r="G195" s="86">
        <f>'[4]Свод.'!M48</f>
        <v>338951.7</v>
      </c>
      <c r="H195" s="86">
        <f>'[5]Свод.'!N48</f>
        <v>2296337.7399999998</v>
      </c>
      <c r="I195" s="86">
        <f>'[6]Свод.'!AR48</f>
        <v>2084295.3</v>
      </c>
      <c r="J195" s="84">
        <f t="shared" si="3"/>
        <v>4923287.859999999</v>
      </c>
      <c r="K195" s="84">
        <f t="shared" si="4"/>
        <v>18800854.55</v>
      </c>
      <c r="L195" s="95">
        <f>K195</f>
        <v>18800854.55</v>
      </c>
      <c r="M195" s="95"/>
      <c r="N195" s="95"/>
      <c r="O195" s="95"/>
      <c r="P195" s="95"/>
      <c r="Q195" s="95"/>
      <c r="R195" s="95"/>
      <c r="S195" s="95"/>
      <c r="T195" s="95"/>
    </row>
    <row r="196" spans="1:20" ht="30">
      <c r="A196" s="6" t="s">
        <v>99</v>
      </c>
      <c r="B196" s="15" t="s">
        <v>100</v>
      </c>
      <c r="C196" s="83" t="s">
        <v>16</v>
      </c>
      <c r="D196" s="86">
        <f>'[1]Свод.'!BA49</f>
        <v>2303223.0300000007</v>
      </c>
      <c r="E196" s="86">
        <f>'[2]Свод.'!AF49</f>
        <v>5766680.35</v>
      </c>
      <c r="F196" s="86">
        <f>'[3]Свод.'!O49</f>
        <v>1681931.92</v>
      </c>
      <c r="G196" s="86">
        <f>'[4]Свод.'!M49</f>
        <v>411810.92000000004</v>
      </c>
      <c r="H196" s="86">
        <f>'[5]Свод.'!N49</f>
        <v>2623699.1399999997</v>
      </c>
      <c r="I196" s="86">
        <f>'[6]Свод.'!AR49</f>
        <v>2466322.210000001</v>
      </c>
      <c r="J196" s="84">
        <f t="shared" si="3"/>
        <v>5641668.470000001</v>
      </c>
      <c r="K196" s="84">
        <f t="shared" si="4"/>
        <v>20895336.04</v>
      </c>
      <c r="L196" s="95">
        <f>K196</f>
        <v>20895336.04</v>
      </c>
      <c r="M196" s="95"/>
      <c r="N196" s="95"/>
      <c r="O196" s="95"/>
      <c r="P196" s="95"/>
      <c r="Q196" s="95"/>
      <c r="R196" s="95"/>
      <c r="S196" s="95"/>
      <c r="T196" s="95"/>
    </row>
    <row r="197" spans="1:20" ht="30">
      <c r="A197" s="6" t="s">
        <v>101</v>
      </c>
      <c r="B197" s="15" t="s">
        <v>102</v>
      </c>
      <c r="C197" s="83" t="s">
        <v>16</v>
      </c>
      <c r="D197" s="86">
        <f>'[1]Свод.'!BA50</f>
        <v>12835.669999999998</v>
      </c>
      <c r="E197" s="86">
        <f>'[2]Свод.'!AF50</f>
        <v>661079.3999999998</v>
      </c>
      <c r="F197" s="86">
        <f>'[3]Свод.'!O50</f>
        <v>10540.669999999991</v>
      </c>
      <c r="G197" s="86">
        <f>'[4]Свод.'!M50</f>
        <v>-18284.059999999998</v>
      </c>
      <c r="H197" s="86">
        <f>'[5]Свод.'!N50</f>
        <v>46602.48000000001</v>
      </c>
      <c r="I197" s="86">
        <f>'[6]Свод.'!AR50</f>
        <v>-45726.250000000015</v>
      </c>
      <c r="J197" s="84">
        <f t="shared" si="3"/>
        <v>81512.18</v>
      </c>
      <c r="K197" s="84">
        <f t="shared" si="4"/>
        <v>748560.0899999999</v>
      </c>
      <c r="L197" s="95">
        <f>K197</f>
        <v>748560.0899999999</v>
      </c>
      <c r="M197" s="95"/>
      <c r="N197" s="95"/>
      <c r="O197" s="95"/>
      <c r="P197" s="95"/>
      <c r="Q197" s="95"/>
      <c r="R197" s="95"/>
      <c r="S197" s="95"/>
      <c r="T197" s="95"/>
    </row>
    <row r="198" spans="1:20" ht="30">
      <c r="A198" s="6" t="s">
        <v>103</v>
      </c>
      <c r="B198" s="16" t="s">
        <v>104</v>
      </c>
      <c r="C198" s="83" t="s">
        <v>16</v>
      </c>
      <c r="D198" s="86">
        <f>'[1]Свод.'!BA51</f>
        <v>0</v>
      </c>
      <c r="E198" s="86">
        <f>'[2]Свод.'!AF51</f>
        <v>0</v>
      </c>
      <c r="F198" s="86">
        <f>'[3]Свод.'!O51</f>
        <v>0</v>
      </c>
      <c r="G198" s="86">
        <f>'[4]Свод.'!M51</f>
        <v>0</v>
      </c>
      <c r="H198" s="86">
        <f>'[5]Свод.'!N51</f>
        <v>0</v>
      </c>
      <c r="I198" s="86">
        <f>'[6]Свод.'!AR51</f>
        <v>0</v>
      </c>
      <c r="J198" s="84">
        <f t="shared" si="3"/>
        <v>0</v>
      </c>
      <c r="K198" s="84">
        <f t="shared" si="4"/>
        <v>0</v>
      </c>
      <c r="L198" s="95"/>
      <c r="M198" s="95"/>
      <c r="N198" s="95"/>
      <c r="O198" s="95"/>
      <c r="P198" s="95"/>
      <c r="Q198" s="95"/>
      <c r="R198" s="95"/>
      <c r="S198" s="95"/>
      <c r="T198" s="95"/>
    </row>
    <row r="199" spans="1:20" ht="15">
      <c r="A199" s="6" t="s">
        <v>82</v>
      </c>
      <c r="B199" s="16" t="s">
        <v>83</v>
      </c>
      <c r="C199" s="83" t="s">
        <v>7</v>
      </c>
      <c r="D199" s="86" t="str">
        <f>'[1]Свод.'!BA52</f>
        <v>Горячее водоснабжение</v>
      </c>
      <c r="E199" s="86" t="str">
        <f>'[2]Свод.'!AF52</f>
        <v>Горячее водоснабжение</v>
      </c>
      <c r="F199" s="86" t="str">
        <f>'[3]Свод.'!O52</f>
        <v>Горячее водоснабжение</v>
      </c>
      <c r="G199" s="86" t="str">
        <f>'[4]Свод.'!M52</f>
        <v>Горячее водоснабжение</v>
      </c>
      <c r="H199" s="86">
        <f>'[5]Свод.'!N52</f>
        <v>0</v>
      </c>
      <c r="I199" s="86">
        <f>'[6]Свод.'!AR52</f>
        <v>0</v>
      </c>
      <c r="J199" s="84">
        <f t="shared" si="3"/>
        <v>0</v>
      </c>
      <c r="K199" s="84">
        <f t="shared" si="4"/>
        <v>0</v>
      </c>
      <c r="L199" s="95"/>
      <c r="M199" s="95"/>
      <c r="N199" s="95"/>
      <c r="O199" s="95"/>
      <c r="P199" s="95"/>
      <c r="Q199" s="95"/>
      <c r="R199" s="95"/>
      <c r="S199" s="95"/>
      <c r="T199" s="95"/>
    </row>
    <row r="200" spans="1:20" ht="15">
      <c r="A200" s="6" t="s">
        <v>106</v>
      </c>
      <c r="B200" s="16" t="s">
        <v>86</v>
      </c>
      <c r="C200" s="83" t="s">
        <v>7</v>
      </c>
      <c r="D200" s="86" t="str">
        <f>'[1]Свод.'!BA53</f>
        <v>куб.м</v>
      </c>
      <c r="E200" s="86">
        <f>'[2]Свод.'!AF53</f>
        <v>0</v>
      </c>
      <c r="F200" s="86">
        <f>'[3]Свод.'!O53</f>
        <v>0</v>
      </c>
      <c r="G200" s="86">
        <f>'[4]Свод.'!M53</f>
        <v>0</v>
      </c>
      <c r="H200" s="86">
        <f>'[5]Свод.'!N53</f>
        <v>0</v>
      </c>
      <c r="I200" s="86">
        <f>'[6]Свод.'!AR53</f>
        <v>0</v>
      </c>
      <c r="J200" s="84">
        <f t="shared" si="3"/>
        <v>0</v>
      </c>
      <c r="K200" s="84">
        <f t="shared" si="4"/>
        <v>0</v>
      </c>
      <c r="L200" s="95"/>
      <c r="M200" s="95"/>
      <c r="N200" s="95"/>
      <c r="O200" s="95"/>
      <c r="P200" s="95"/>
      <c r="Q200" s="95"/>
      <c r="R200" s="95"/>
      <c r="S200" s="95"/>
      <c r="T200" s="95"/>
    </row>
    <row r="201" spans="1:20" ht="30">
      <c r="A201" s="6" t="s">
        <v>107</v>
      </c>
      <c r="B201" s="16" t="s">
        <v>89</v>
      </c>
      <c r="C201" s="83" t="s">
        <v>90</v>
      </c>
      <c r="D201" s="86">
        <f>'[1]Свод.'!BA54</f>
        <v>7284.701069168666</v>
      </c>
      <c r="E201" s="86">
        <f>'[2]Свод.'!AF54</f>
        <v>75360.32066433765</v>
      </c>
      <c r="F201" s="86">
        <f>'[3]Свод.'!O54</f>
        <v>19924.94195519233</v>
      </c>
      <c r="G201" s="86">
        <f>'[4]Свод.'!M54</f>
        <v>0</v>
      </c>
      <c r="H201" s="86">
        <f>'[5]Свод.'!N54</f>
        <v>2348.2257618735907</v>
      </c>
      <c r="I201" s="86">
        <f>'[6]Свод.'!AR54</f>
        <v>1178.0621136082625</v>
      </c>
      <c r="J201" s="84">
        <f t="shared" si="3"/>
        <v>6998.460564017493</v>
      </c>
      <c r="K201" s="84">
        <f t="shared" si="4"/>
        <v>113094.712128198</v>
      </c>
      <c r="L201" s="95"/>
      <c r="M201" s="95">
        <f>L195+L205+L215+L225</f>
        <v>124141707.83000001</v>
      </c>
      <c r="N201" s="95"/>
      <c r="O201" s="95"/>
      <c r="P201" s="95"/>
      <c r="Q201" s="95"/>
      <c r="R201" s="95"/>
      <c r="S201" s="95"/>
      <c r="T201" s="95"/>
    </row>
    <row r="202" spans="1:20" ht="15">
      <c r="A202" s="6" t="s">
        <v>108</v>
      </c>
      <c r="B202" s="16" t="s">
        <v>92</v>
      </c>
      <c r="C202" s="83" t="s">
        <v>16</v>
      </c>
      <c r="D202" s="86">
        <f>'[1]Свод.'!BA55</f>
        <v>1001573.55</v>
      </c>
      <c r="E202" s="86">
        <f>'[2]Свод.'!AF55</f>
        <v>9830531.280000003</v>
      </c>
      <c r="F202" s="86">
        <f>'[3]Свод.'!O55</f>
        <v>2717166.81</v>
      </c>
      <c r="G202" s="86">
        <f>'[4]Свод.'!M55</f>
        <v>0</v>
      </c>
      <c r="H202" s="86">
        <f>'[5]Свод.'!N55</f>
        <v>322857.56</v>
      </c>
      <c r="I202" s="86">
        <f>'[6]Свод.'!AR55</f>
        <v>161971.76</v>
      </c>
      <c r="J202" s="84">
        <f t="shared" si="3"/>
        <v>928135.84</v>
      </c>
      <c r="K202" s="84">
        <f t="shared" si="4"/>
        <v>14962236.800000004</v>
      </c>
      <c r="L202" s="95"/>
      <c r="M202" s="95">
        <f>L196+L206+L216+L226</f>
        <v>129442250.3</v>
      </c>
      <c r="N202" s="95"/>
      <c r="O202" s="95"/>
      <c r="P202" s="95"/>
      <c r="Q202" s="95"/>
      <c r="R202" s="95"/>
      <c r="S202" s="95"/>
      <c r="T202" s="95"/>
    </row>
    <row r="203" spans="1:20" ht="15">
      <c r="A203" s="6" t="s">
        <v>109</v>
      </c>
      <c r="B203" s="15" t="s">
        <v>94</v>
      </c>
      <c r="C203" s="83" t="s">
        <v>16</v>
      </c>
      <c r="D203" s="86">
        <f>'[1]Свод.'!BA56</f>
        <v>1052028.1199999999</v>
      </c>
      <c r="E203" s="86">
        <f>'[2]Свод.'!AF56</f>
        <v>10286204.069999998</v>
      </c>
      <c r="F203" s="86">
        <f>'[3]Свод.'!O56</f>
        <v>3119764.82</v>
      </c>
      <c r="G203" s="86">
        <f>'[4]Свод.'!M56</f>
        <v>0</v>
      </c>
      <c r="H203" s="86">
        <f>'[5]Свод.'!N56</f>
        <v>213089.79</v>
      </c>
      <c r="I203" s="86">
        <f>'[6]Свод.'!AR56</f>
        <v>125209.4</v>
      </c>
      <c r="J203" s="84">
        <f t="shared" si="3"/>
        <v>910575.79</v>
      </c>
      <c r="K203" s="84">
        <f t="shared" si="4"/>
        <v>15706871.989999998</v>
      </c>
      <c r="L203" s="95"/>
      <c r="M203" s="95"/>
      <c r="N203" s="95"/>
      <c r="O203" s="95"/>
      <c r="P203" s="95"/>
      <c r="Q203" s="95"/>
      <c r="R203" s="95"/>
      <c r="S203" s="95"/>
      <c r="T203" s="95"/>
    </row>
    <row r="204" spans="1:20" ht="15">
      <c r="A204" s="6" t="s">
        <v>110</v>
      </c>
      <c r="B204" s="15" t="s">
        <v>96</v>
      </c>
      <c r="C204" s="83" t="s">
        <v>16</v>
      </c>
      <c r="D204" s="86">
        <f>'[1]Свод.'!BA57</f>
        <v>-50454.57000000001</v>
      </c>
      <c r="E204" s="86">
        <f>'[2]Свод.'!AF57</f>
        <v>-101913.53000000009</v>
      </c>
      <c r="F204" s="86">
        <f>'[3]Свод.'!O57</f>
        <v>-269634.42</v>
      </c>
      <c r="G204" s="86">
        <f>'[4]Свод.'!M57</f>
        <v>0</v>
      </c>
      <c r="H204" s="86">
        <f>'[5]Свод.'!N57</f>
        <v>109767.77</v>
      </c>
      <c r="I204" s="86">
        <f>'[6]Свод.'!AR57</f>
        <v>36762.36</v>
      </c>
      <c r="J204" s="84">
        <f t="shared" si="3"/>
        <v>51030.44</v>
      </c>
      <c r="K204" s="84">
        <f t="shared" si="4"/>
        <v>-224441.95000000007</v>
      </c>
      <c r="L204" s="95"/>
      <c r="M204" s="95"/>
      <c r="N204" s="95"/>
      <c r="O204" s="95"/>
      <c r="P204" s="95"/>
      <c r="Q204" s="95"/>
      <c r="R204" s="95"/>
      <c r="S204" s="95"/>
      <c r="T204" s="95"/>
    </row>
    <row r="205" spans="1:20" ht="30">
      <c r="A205" s="6" t="s">
        <v>111</v>
      </c>
      <c r="B205" s="15" t="s">
        <v>98</v>
      </c>
      <c r="C205" s="83" t="s">
        <v>16</v>
      </c>
      <c r="D205" s="86">
        <f>'[1]Свод.'!BA58</f>
        <v>937433.16</v>
      </c>
      <c r="E205" s="86">
        <f>'[2]Свод.'!AF58</f>
        <v>8506242.08</v>
      </c>
      <c r="F205" s="86">
        <f>'[3]Свод.'!O58</f>
        <v>2717166.81</v>
      </c>
      <c r="G205" s="86">
        <f>'[4]Свод.'!M58</f>
        <v>0</v>
      </c>
      <c r="H205" s="86">
        <f>'[5]Свод.'!N58</f>
        <v>322857.56</v>
      </c>
      <c r="I205" s="86">
        <f>'[6]Свод.'!AR58</f>
        <v>161971.76</v>
      </c>
      <c r="J205" s="84">
        <f t="shared" si="3"/>
        <v>928135.84</v>
      </c>
      <c r="K205" s="84">
        <f t="shared" si="4"/>
        <v>13573807.21</v>
      </c>
      <c r="L205" s="95">
        <f>K205</f>
        <v>13573807.21</v>
      </c>
      <c r="M205" s="95"/>
      <c r="N205" s="95"/>
      <c r="O205" s="95"/>
      <c r="P205" s="95"/>
      <c r="Q205" s="95"/>
      <c r="R205" s="95"/>
      <c r="S205" s="95"/>
      <c r="T205" s="95"/>
    </row>
    <row r="206" spans="1:20" ht="30">
      <c r="A206" s="6" t="s">
        <v>112</v>
      </c>
      <c r="B206" s="15" t="s">
        <v>100</v>
      </c>
      <c r="C206" s="83" t="s">
        <v>16</v>
      </c>
      <c r="D206" s="86">
        <f>'[1]Свод.'!BA59</f>
        <v>1075514.03</v>
      </c>
      <c r="E206" s="86">
        <f>'[2]Свод.'!AF59</f>
        <v>10128684.520000001</v>
      </c>
      <c r="F206" s="86">
        <f>'[3]Свод.'!O59</f>
        <v>4622950.6899999995</v>
      </c>
      <c r="G206" s="86">
        <f>'[4]Свод.'!M59</f>
        <v>0</v>
      </c>
      <c r="H206" s="86">
        <f>'[5]Свод.'!N59</f>
        <v>609675.58</v>
      </c>
      <c r="I206" s="86">
        <f>'[6]Свод.'!AR59</f>
        <v>305863.14</v>
      </c>
      <c r="J206" s="84">
        <f t="shared" si="3"/>
        <v>1752666.91</v>
      </c>
      <c r="K206" s="84">
        <f t="shared" si="4"/>
        <v>18495354.87</v>
      </c>
      <c r="L206" s="95">
        <f>K206</f>
        <v>18495354.87</v>
      </c>
      <c r="M206" s="95"/>
      <c r="N206" s="95"/>
      <c r="O206" s="95"/>
      <c r="P206" s="95"/>
      <c r="Q206" s="95"/>
      <c r="R206" s="95"/>
      <c r="S206" s="95"/>
      <c r="T206" s="95"/>
    </row>
    <row r="207" spans="1:20" ht="30">
      <c r="A207" s="6" t="s">
        <v>113</v>
      </c>
      <c r="B207" s="15" t="s">
        <v>102</v>
      </c>
      <c r="C207" s="83" t="s">
        <v>16</v>
      </c>
      <c r="D207" s="86">
        <f>'[1]Свод.'!BA60</f>
        <v>191241.33000000002</v>
      </c>
      <c r="E207" s="86">
        <f>'[2]Свод.'!AF60</f>
        <v>1677482.55</v>
      </c>
      <c r="F207" s="86">
        <f>'[3]Свод.'!O60</f>
        <v>204686.5</v>
      </c>
      <c r="G207" s="86">
        <f>'[4]Свод.'!M60</f>
        <v>0</v>
      </c>
      <c r="H207" s="86">
        <f>'[5]Свод.'!N60</f>
        <v>28414.17</v>
      </c>
      <c r="I207" s="86">
        <f>'[6]Свод.'!AR60</f>
        <v>14254.87</v>
      </c>
      <c r="J207" s="84">
        <f t="shared" si="3"/>
        <v>81683.72</v>
      </c>
      <c r="K207" s="84">
        <f t="shared" si="4"/>
        <v>2197763.1400000006</v>
      </c>
      <c r="L207" s="95">
        <f>K207</f>
        <v>2197763.1400000006</v>
      </c>
      <c r="M207" s="95"/>
      <c r="N207" s="95"/>
      <c r="O207" s="95"/>
      <c r="P207" s="95"/>
      <c r="Q207" s="95"/>
      <c r="R207" s="95"/>
      <c r="S207" s="95"/>
      <c r="T207" s="95"/>
    </row>
    <row r="208" spans="1:20" ht="30">
      <c r="A208" s="6" t="s">
        <v>114</v>
      </c>
      <c r="B208" s="16" t="s">
        <v>104</v>
      </c>
      <c r="C208" s="83" t="s">
        <v>16</v>
      </c>
      <c r="D208" s="86">
        <f>'[1]Свод.'!BA61</f>
        <v>0</v>
      </c>
      <c r="E208" s="86">
        <f>'[2]Свод.'!AF61</f>
        <v>0</v>
      </c>
      <c r="F208" s="86">
        <f>'[3]Свод.'!O61</f>
        <v>0</v>
      </c>
      <c r="G208" s="86">
        <f>'[4]Свод.'!M61</f>
        <v>0</v>
      </c>
      <c r="H208" s="86">
        <f>'[5]Свод.'!N61</f>
        <v>0</v>
      </c>
      <c r="I208" s="86">
        <f>'[6]Свод.'!AR61</f>
        <v>0</v>
      </c>
      <c r="J208" s="84">
        <f t="shared" si="3"/>
        <v>0</v>
      </c>
      <c r="K208" s="84">
        <f t="shared" si="4"/>
        <v>0</v>
      </c>
      <c r="L208" s="95"/>
      <c r="M208" s="95"/>
      <c r="N208" s="95"/>
      <c r="O208" s="95"/>
      <c r="P208" s="95"/>
      <c r="Q208" s="95"/>
      <c r="R208" s="95"/>
      <c r="S208" s="95"/>
      <c r="T208" s="95"/>
    </row>
    <row r="209" spans="1:20" ht="15">
      <c r="A209" s="6" t="s">
        <v>115</v>
      </c>
      <c r="B209" s="16" t="s">
        <v>83</v>
      </c>
      <c r="C209" s="83" t="s">
        <v>7</v>
      </c>
      <c r="D209" s="86" t="str">
        <f>'[1]Свод.'!BA62</f>
        <v>Водоотведение</v>
      </c>
      <c r="E209" s="86" t="str">
        <f>'[2]Свод.'!AF62</f>
        <v>Водоотведение</v>
      </c>
      <c r="F209" s="86" t="str">
        <f>'[3]Свод.'!O62</f>
        <v>Водоотведение</v>
      </c>
      <c r="G209" s="86" t="str">
        <f>'[4]Свод.'!M62</f>
        <v>Водоотведение</v>
      </c>
      <c r="H209" s="86">
        <f>'[5]Свод.'!N62</f>
        <v>0</v>
      </c>
      <c r="I209" s="86">
        <f>'[6]Свод.'!AR62</f>
        <v>0</v>
      </c>
      <c r="J209" s="84">
        <f t="shared" si="3"/>
        <v>0</v>
      </c>
      <c r="K209" s="84">
        <f t="shared" si="4"/>
        <v>0</v>
      </c>
      <c r="L209" s="95"/>
      <c r="M209" s="95"/>
      <c r="N209" s="95"/>
      <c r="O209" s="95"/>
      <c r="P209" s="95"/>
      <c r="Q209" s="95"/>
      <c r="R209" s="95"/>
      <c r="S209" s="95"/>
      <c r="T209" s="95"/>
    </row>
    <row r="210" spans="1:20" ht="15">
      <c r="A210" s="6" t="s">
        <v>117</v>
      </c>
      <c r="B210" s="16" t="s">
        <v>86</v>
      </c>
      <c r="C210" s="83" t="s">
        <v>7</v>
      </c>
      <c r="D210" s="86" t="str">
        <f>'[1]Свод.'!BA63</f>
        <v>куб.м</v>
      </c>
      <c r="E210" s="86">
        <f>'[2]Свод.'!AF63</f>
        <v>0</v>
      </c>
      <c r="F210" s="86">
        <f>'[3]Свод.'!O63</f>
        <v>0</v>
      </c>
      <c r="G210" s="86">
        <f>'[4]Свод.'!M63</f>
        <v>0</v>
      </c>
      <c r="H210" s="86">
        <f>'[5]Свод.'!N63</f>
        <v>0</v>
      </c>
      <c r="I210" s="86">
        <f>'[6]Свод.'!AR63</f>
        <v>0</v>
      </c>
      <c r="J210" s="84">
        <f t="shared" si="3"/>
        <v>0</v>
      </c>
      <c r="K210" s="84">
        <f t="shared" si="4"/>
        <v>0</v>
      </c>
      <c r="L210" s="95"/>
      <c r="M210" s="95"/>
      <c r="N210" s="95"/>
      <c r="O210" s="95"/>
      <c r="P210" s="95"/>
      <c r="Q210" s="95"/>
      <c r="R210" s="95"/>
      <c r="S210" s="95"/>
      <c r="T210" s="95"/>
    </row>
    <row r="211" spans="1:20" ht="30">
      <c r="A211" s="6" t="s">
        <v>118</v>
      </c>
      <c r="B211" s="16" t="s">
        <v>89</v>
      </c>
      <c r="C211" s="83" t="s">
        <v>90</v>
      </c>
      <c r="D211" s="86">
        <f>'[1]Свод.'!BA64</f>
        <v>78925.35431161773</v>
      </c>
      <c r="E211" s="86">
        <f>'[2]Свод.'!AF64</f>
        <v>288264.6623295812</v>
      </c>
      <c r="F211" s="86">
        <f>'[3]Свод.'!O64</f>
        <v>75467.37892046385</v>
      </c>
      <c r="G211" s="86">
        <f>'[4]Свод.'!M64</f>
        <v>12125.229691794038</v>
      </c>
      <c r="H211" s="86">
        <f>'[5]Свод.'!N64</f>
        <v>84276.23252730441</v>
      </c>
      <c r="I211" s="86">
        <f>'[6]Свод.'!AR64</f>
        <v>77732.65342982628</v>
      </c>
      <c r="J211" s="84">
        <f t="shared" si="3"/>
        <v>185986.5026417512</v>
      </c>
      <c r="K211" s="84">
        <f t="shared" si="4"/>
        <v>802778.0138523387</v>
      </c>
      <c r="L211" s="95"/>
      <c r="M211" s="95"/>
      <c r="N211" s="95"/>
      <c r="O211" s="95"/>
      <c r="P211" s="95"/>
      <c r="Q211" s="95"/>
      <c r="R211" s="95"/>
      <c r="S211" s="95"/>
      <c r="T211" s="95"/>
    </row>
    <row r="212" spans="1:20" ht="15">
      <c r="A212" s="6" t="s">
        <v>119</v>
      </c>
      <c r="B212" s="16" t="s">
        <v>92</v>
      </c>
      <c r="C212" s="83" t="s">
        <v>16</v>
      </c>
      <c r="D212" s="86">
        <f>'[1]Свод.'!BA65</f>
        <v>1184729.55</v>
      </c>
      <c r="E212" s="86">
        <f>'[2]Свод.'!AF65</f>
        <v>4274408.04</v>
      </c>
      <c r="F212" s="86">
        <f>'[3]Свод.'!O65</f>
        <v>1143912.0699999998</v>
      </c>
      <c r="G212" s="86">
        <f>'[4]Свод.'!M65</f>
        <v>185801.58</v>
      </c>
      <c r="H212" s="86">
        <f>'[5]Свод.'!N65</f>
        <v>1262634.27</v>
      </c>
      <c r="I212" s="86">
        <f>'[6]Свод.'!AR65</f>
        <v>1136070.7200000002</v>
      </c>
      <c r="J212" s="84">
        <f t="shared" si="3"/>
        <v>2761479.13</v>
      </c>
      <c r="K212" s="84">
        <f t="shared" si="4"/>
        <v>11949035.36</v>
      </c>
      <c r="L212" s="95"/>
      <c r="M212" s="95"/>
      <c r="N212" s="95"/>
      <c r="O212" s="95"/>
      <c r="P212" s="95"/>
      <c r="Q212" s="95"/>
      <c r="R212" s="95"/>
      <c r="S212" s="95"/>
      <c r="T212" s="95"/>
    </row>
    <row r="213" spans="1:20" ht="15">
      <c r="A213" s="6" t="s">
        <v>120</v>
      </c>
      <c r="B213" s="15" t="s">
        <v>94</v>
      </c>
      <c r="C213" s="83" t="s">
        <v>16</v>
      </c>
      <c r="D213" s="86">
        <f>'[1]Свод.'!BA66</f>
        <v>1126862.55</v>
      </c>
      <c r="E213" s="86">
        <f>'[2]Свод.'!AF66</f>
        <v>4311699.879999999</v>
      </c>
      <c r="F213" s="86">
        <f>'[3]Свод.'!O66</f>
        <v>1247184.29</v>
      </c>
      <c r="G213" s="86">
        <f>'[4]Свод.'!M66</f>
        <v>152769.13</v>
      </c>
      <c r="H213" s="86">
        <f>'[5]Свод.'!N66</f>
        <v>1058278.77</v>
      </c>
      <c r="I213" s="86">
        <f>'[6]Свод.'!AR66</f>
        <v>1092098.3699999996</v>
      </c>
      <c r="J213" s="84">
        <f t="shared" si="3"/>
        <v>2630395.85</v>
      </c>
      <c r="K213" s="84">
        <f t="shared" si="4"/>
        <v>11619288.839999998</v>
      </c>
      <c r="L213" s="95"/>
      <c r="M213" s="95"/>
      <c r="N213" s="95"/>
      <c r="O213" s="95"/>
      <c r="P213" s="95"/>
      <c r="Q213" s="95"/>
      <c r="R213" s="95"/>
      <c r="S213" s="95"/>
      <c r="T213" s="95"/>
    </row>
    <row r="214" spans="1:20" ht="15">
      <c r="A214" s="6" t="s">
        <v>121</v>
      </c>
      <c r="B214" s="15" t="s">
        <v>96</v>
      </c>
      <c r="C214" s="83" t="s">
        <v>16</v>
      </c>
      <c r="D214" s="86">
        <f>'[1]Свод.'!BA67</f>
        <v>194935.3500000001</v>
      </c>
      <c r="E214" s="86">
        <f>'[2]Свод.'!AF67</f>
        <v>190828.53</v>
      </c>
      <c r="F214" s="86">
        <f>'[3]Свод.'!O67</f>
        <v>-48776.64999999998</v>
      </c>
      <c r="G214" s="86">
        <f>'[4]Свод.'!M67</f>
        <v>51704.270000000004</v>
      </c>
      <c r="H214" s="86">
        <f>'[5]Свод.'!N67</f>
        <v>464671.23999999993</v>
      </c>
      <c r="I214" s="86">
        <f>'[6]Свод.'!AR67</f>
        <v>475545.09</v>
      </c>
      <c r="J214" s="84">
        <f t="shared" si="3"/>
        <v>357794.12000000005</v>
      </c>
      <c r="K214" s="84">
        <f t="shared" si="4"/>
        <v>1686701.9500000002</v>
      </c>
      <c r="L214" s="95"/>
      <c r="M214" s="95"/>
      <c r="N214" s="95"/>
      <c r="O214" s="95"/>
      <c r="P214" s="95"/>
      <c r="Q214" s="95"/>
      <c r="R214" s="95"/>
      <c r="S214" s="95"/>
      <c r="T214" s="95"/>
    </row>
    <row r="215" spans="1:20" ht="30">
      <c r="A215" s="6" t="s">
        <v>122</v>
      </c>
      <c r="B215" s="15" t="s">
        <v>98</v>
      </c>
      <c r="C215" s="83" t="s">
        <v>16</v>
      </c>
      <c r="D215" s="86">
        <f>'[1]Свод.'!BA68</f>
        <v>1184729.6300000001</v>
      </c>
      <c r="E215" s="86">
        <f>'[2]Свод.'!AF68</f>
        <v>4154833.1800000006</v>
      </c>
      <c r="F215" s="86">
        <f>'[3]Свод.'!O68</f>
        <v>1143089.14</v>
      </c>
      <c r="G215" s="86">
        <f>'[4]Свод.'!M68</f>
        <v>185801.58</v>
      </c>
      <c r="H215" s="86">
        <f>'[5]Свод.'!N68</f>
        <v>1262794.3800000001</v>
      </c>
      <c r="I215" s="86">
        <f>'[6]Свод.'!AR68</f>
        <v>1136070.86</v>
      </c>
      <c r="J215" s="84">
        <f aca="true" t="shared" si="5" ref="J215:J237">U68</f>
        <v>2754768.4000000004</v>
      </c>
      <c r="K215" s="84">
        <f aca="true" t="shared" si="6" ref="K215:K237">SUM(D215:J215)</f>
        <v>11822087.17</v>
      </c>
      <c r="L215" s="95">
        <f>K215</f>
        <v>11822087.17</v>
      </c>
      <c r="M215" s="95"/>
      <c r="N215" s="95"/>
      <c r="O215" s="95"/>
      <c r="P215" s="95"/>
      <c r="Q215" s="95"/>
      <c r="R215" s="95"/>
      <c r="S215" s="95"/>
      <c r="T215" s="95"/>
    </row>
    <row r="216" spans="1:20" ht="30">
      <c r="A216" s="6" t="s">
        <v>123</v>
      </c>
      <c r="B216" s="15" t="s">
        <v>100</v>
      </c>
      <c r="C216" s="83" t="s">
        <v>16</v>
      </c>
      <c r="D216" s="86">
        <f>'[1]Свод.'!BA69</f>
        <v>1458256.71</v>
      </c>
      <c r="E216" s="86">
        <f>'[2]Свод.'!AF69</f>
        <v>4337873.26</v>
      </c>
      <c r="F216" s="86">
        <f>'[3]Свод.'!O69</f>
        <v>1463170</v>
      </c>
      <c r="G216" s="86">
        <f>'[4]Свод.'!M69</f>
        <v>246760.76</v>
      </c>
      <c r="H216" s="86">
        <f>'[5]Свод.'!N69</f>
        <v>1581462.48</v>
      </c>
      <c r="I216" s="86">
        <f>'[6]Свод.'!AR69</f>
        <v>1473229.98</v>
      </c>
      <c r="J216" s="84">
        <f t="shared" si="5"/>
        <v>3476030.2300000004</v>
      </c>
      <c r="K216" s="84">
        <f t="shared" si="6"/>
        <v>14036783.42</v>
      </c>
      <c r="L216" s="95">
        <f>K216</f>
        <v>14036783.42</v>
      </c>
      <c r="M216" s="95"/>
      <c r="N216" s="95"/>
      <c r="O216" s="95"/>
      <c r="P216" s="95"/>
      <c r="Q216" s="95"/>
      <c r="R216" s="95"/>
      <c r="S216" s="95"/>
      <c r="T216" s="95"/>
    </row>
    <row r="217" spans="1:20" ht="30">
      <c r="A217" s="6" t="s">
        <v>124</v>
      </c>
      <c r="B217" s="15" t="s">
        <v>102</v>
      </c>
      <c r="C217" s="83" t="s">
        <v>16</v>
      </c>
      <c r="D217" s="86">
        <f>'[1]Свод.'!BA70</f>
        <v>22697.239999999994</v>
      </c>
      <c r="E217" s="86">
        <f>'[2]Свод.'!AF70</f>
        <v>532643.13</v>
      </c>
      <c r="F217" s="86">
        <f>'[3]Свод.'!O70</f>
        <v>-23240.269999999997</v>
      </c>
      <c r="G217" s="86">
        <f>'[4]Свод.'!M70</f>
        <v>-10955.97</v>
      </c>
      <c r="H217" s="86">
        <f>'[5]Свод.'!N70</f>
        <v>2399.4000000000096</v>
      </c>
      <c r="I217" s="86">
        <f>'[6]Свод.'!AR70</f>
        <v>-38402.06</v>
      </c>
      <c r="J217" s="84">
        <f t="shared" si="5"/>
        <v>8375.130000000006</v>
      </c>
      <c r="K217" s="84">
        <f t="shared" si="6"/>
        <v>493516.60000000003</v>
      </c>
      <c r="L217" s="95">
        <f>K217</f>
        <v>493516.60000000003</v>
      </c>
      <c r="M217" s="95"/>
      <c r="N217" s="95"/>
      <c r="O217" s="95"/>
      <c r="P217" s="95"/>
      <c r="Q217" s="95"/>
      <c r="R217" s="95"/>
      <c r="S217" s="95"/>
      <c r="T217" s="95"/>
    </row>
    <row r="218" spans="1:20" ht="30">
      <c r="A218" s="6" t="s">
        <v>125</v>
      </c>
      <c r="B218" s="16" t="s">
        <v>104</v>
      </c>
      <c r="C218" s="83" t="s">
        <v>16</v>
      </c>
      <c r="D218" s="86">
        <f>'[1]Свод.'!BA71</f>
        <v>0</v>
      </c>
      <c r="E218" s="86">
        <f>'[2]Свод.'!AF71</f>
        <v>0</v>
      </c>
      <c r="F218" s="86">
        <f>'[3]Свод.'!O71</f>
        <v>0</v>
      </c>
      <c r="G218" s="86">
        <f>'[4]Свод.'!M71</f>
        <v>0</v>
      </c>
      <c r="H218" s="86">
        <f>'[5]Свод.'!N71</f>
        <v>0</v>
      </c>
      <c r="I218" s="86">
        <f>'[6]Свод.'!AR71</f>
        <v>0</v>
      </c>
      <c r="J218" s="84">
        <f t="shared" si="5"/>
        <v>0</v>
      </c>
      <c r="K218" s="84">
        <f t="shared" si="6"/>
        <v>0</v>
      </c>
      <c r="L218" s="95"/>
      <c r="M218" s="95"/>
      <c r="N218" s="95"/>
      <c r="O218" s="95"/>
      <c r="P218" s="95"/>
      <c r="Q218" s="95"/>
      <c r="R218" s="95"/>
      <c r="S218" s="95"/>
      <c r="T218" s="95"/>
    </row>
    <row r="219" spans="1:20" ht="15">
      <c r="A219" s="6" t="s">
        <v>126</v>
      </c>
      <c r="B219" s="16" t="s">
        <v>83</v>
      </c>
      <c r="C219" s="83" t="s">
        <v>7</v>
      </c>
      <c r="D219" s="86" t="str">
        <f>'[1]Свод.'!BA72</f>
        <v>Отопление</v>
      </c>
      <c r="E219" s="86" t="str">
        <f>'[2]Свод.'!AF72</f>
        <v>Отопление</v>
      </c>
      <c r="F219" s="86" t="str">
        <f>'[3]Свод.'!O72</f>
        <v>Отопление</v>
      </c>
      <c r="G219" s="86" t="str">
        <f>'[4]Свод.'!M72</f>
        <v>Отопление</v>
      </c>
      <c r="H219" s="86">
        <f>'[5]Свод.'!N72</f>
        <v>0</v>
      </c>
      <c r="I219" s="86">
        <f>'[6]Свод.'!AR72</f>
        <v>0</v>
      </c>
      <c r="J219" s="84">
        <f t="shared" si="5"/>
        <v>0</v>
      </c>
      <c r="K219" s="84">
        <f t="shared" si="6"/>
        <v>0</v>
      </c>
      <c r="L219" s="95"/>
      <c r="M219" s="95"/>
      <c r="N219" s="95"/>
      <c r="O219" s="95"/>
      <c r="P219" s="95"/>
      <c r="Q219" s="95"/>
      <c r="R219" s="95"/>
      <c r="S219" s="95"/>
      <c r="T219" s="95"/>
    </row>
    <row r="220" spans="1:20" ht="15">
      <c r="A220" s="6" t="s">
        <v>128</v>
      </c>
      <c r="B220" s="16" t="s">
        <v>86</v>
      </c>
      <c r="C220" s="83" t="s">
        <v>7</v>
      </c>
      <c r="D220" s="86" t="str">
        <f>'[1]Свод.'!BA73</f>
        <v>Гкал</v>
      </c>
      <c r="E220" s="86">
        <f>'[2]Свод.'!AF73</f>
        <v>0</v>
      </c>
      <c r="F220" s="86">
        <f>'[3]Свод.'!O73</f>
        <v>0</v>
      </c>
      <c r="G220" s="86">
        <f>'[4]Свод.'!M73</f>
        <v>0</v>
      </c>
      <c r="H220" s="86">
        <f>'[5]Свод.'!N73</f>
        <v>0</v>
      </c>
      <c r="I220" s="86">
        <f>'[6]Свод.'!AR73</f>
        <v>0</v>
      </c>
      <c r="J220" s="84">
        <f t="shared" si="5"/>
        <v>0</v>
      </c>
      <c r="K220" s="84">
        <f t="shared" si="6"/>
        <v>0</v>
      </c>
      <c r="L220" s="95"/>
      <c r="M220" s="95"/>
      <c r="N220" s="95"/>
      <c r="O220" s="95"/>
      <c r="P220" s="95"/>
      <c r="Q220" s="95"/>
      <c r="R220" s="95"/>
      <c r="S220" s="95"/>
      <c r="T220" s="95"/>
    </row>
    <row r="221" spans="1:20" ht="30">
      <c r="A221" s="6" t="s">
        <v>130</v>
      </c>
      <c r="B221" s="16" t="s">
        <v>89</v>
      </c>
      <c r="C221" s="83" t="s">
        <v>90</v>
      </c>
      <c r="D221" s="86">
        <f>'[1]Свод.'!BA74</f>
        <v>3894.045754156299</v>
      </c>
      <c r="E221" s="86">
        <f>'[2]Свод.'!AF74</f>
        <v>16799.306599570573</v>
      </c>
      <c r="F221" s="86">
        <f>'[3]Свод.'!O74</f>
        <v>5266.498332630785</v>
      </c>
      <c r="G221" s="86">
        <f>'[4]Свод.'!M74</f>
        <v>859.4557221053291</v>
      </c>
      <c r="H221" s="86">
        <f>'[5]Свод.'!N74</f>
        <v>4299.448894396446</v>
      </c>
      <c r="I221" s="86">
        <f>'[6]Свод.'!AR74</f>
        <v>3568.933942996875</v>
      </c>
      <c r="J221" s="84">
        <f t="shared" si="5"/>
        <v>12032.230654281191</v>
      </c>
      <c r="K221" s="84">
        <f t="shared" si="6"/>
        <v>46719.9199001375</v>
      </c>
      <c r="L221" s="95"/>
      <c r="M221" s="95"/>
      <c r="N221" s="95"/>
      <c r="O221" s="95"/>
      <c r="P221" s="95"/>
      <c r="Q221" s="95"/>
      <c r="R221" s="95"/>
      <c r="S221" s="95"/>
      <c r="T221" s="95"/>
    </row>
    <row r="222" spans="1:20" ht="15">
      <c r="A222" s="6" t="s">
        <v>131</v>
      </c>
      <c r="B222" s="16" t="s">
        <v>92</v>
      </c>
      <c r="C222" s="83" t="s">
        <v>16</v>
      </c>
      <c r="D222" s="86">
        <f>'[1]Свод.'!BA75</f>
        <v>6617841.489999998</v>
      </c>
      <c r="E222" s="86">
        <f>'[2]Свод.'!AF75</f>
        <v>27846309.810000002</v>
      </c>
      <c r="F222" s="86">
        <f>'[3]Свод.'!O75</f>
        <v>8015542.71</v>
      </c>
      <c r="G222" s="86">
        <f>'[4]Свод.'!M75</f>
        <v>1487664.1800000002</v>
      </c>
      <c r="H222" s="86">
        <f>'[5]Свод.'!N75</f>
        <v>7316781.970000001</v>
      </c>
      <c r="I222" s="86">
        <f>'[6]Свод.'!AR75</f>
        <v>6009672.4399999995</v>
      </c>
      <c r="J222" s="84">
        <f t="shared" si="5"/>
        <v>20278056.910000004</v>
      </c>
      <c r="K222" s="84">
        <f t="shared" si="6"/>
        <v>77571869.50999999</v>
      </c>
      <c r="L222" s="95"/>
      <c r="M222" s="95"/>
      <c r="N222" s="95"/>
      <c r="O222" s="95"/>
      <c r="P222" s="95"/>
      <c r="Q222" s="95"/>
      <c r="R222" s="95"/>
      <c r="S222" s="95"/>
      <c r="T222" s="95"/>
    </row>
    <row r="223" spans="1:20" ht="15">
      <c r="A223" s="6" t="s">
        <v>132</v>
      </c>
      <c r="B223" s="15" t="s">
        <v>94</v>
      </c>
      <c r="C223" s="83" t="s">
        <v>16</v>
      </c>
      <c r="D223" s="86">
        <f>'[1]Свод.'!BA76</f>
        <v>6245635.588999998</v>
      </c>
      <c r="E223" s="86">
        <f>'[2]Свод.'!AF76</f>
        <v>27127906.419999994</v>
      </c>
      <c r="F223" s="86">
        <f>'[3]Свод.'!O76</f>
        <v>7966221.432999999</v>
      </c>
      <c r="G223" s="86">
        <f>'[4]Свод.'!M76</f>
        <v>1255091.92</v>
      </c>
      <c r="H223" s="86">
        <f>'[5]Свод.'!N76</f>
        <v>6226188.109999999</v>
      </c>
      <c r="I223" s="86">
        <f>'[6]Свод.'!AR76</f>
        <v>5783302.47</v>
      </c>
      <c r="J223" s="84">
        <f t="shared" si="5"/>
        <v>19275594.98</v>
      </c>
      <c r="K223" s="84">
        <f t="shared" si="6"/>
        <v>73879940.92199999</v>
      </c>
      <c r="L223" s="95"/>
      <c r="M223" s="95"/>
      <c r="N223" s="95"/>
      <c r="O223" s="95"/>
      <c r="P223" s="95"/>
      <c r="Q223" s="95"/>
      <c r="R223" s="95"/>
      <c r="S223" s="95"/>
      <c r="T223" s="95"/>
    </row>
    <row r="224" spans="1:20" ht="15">
      <c r="A224" s="6" t="s">
        <v>133</v>
      </c>
      <c r="B224" s="15" t="s">
        <v>96</v>
      </c>
      <c r="C224" s="83" t="s">
        <v>16</v>
      </c>
      <c r="D224" s="86">
        <f>'[1]Свод.'!BA77</f>
        <v>1144340.5100000002</v>
      </c>
      <c r="E224" s="86">
        <f>'[2]Свод.'!AF77</f>
        <v>2274826.2329999995</v>
      </c>
      <c r="F224" s="86">
        <f>'[3]Свод.'!O77</f>
        <v>307952.097</v>
      </c>
      <c r="G224" s="86">
        <f>'[4]Свод.'!M77</f>
        <v>301436.33999999997</v>
      </c>
      <c r="H224" s="86">
        <f>'[5]Свод.'!N77</f>
        <v>2159915.41</v>
      </c>
      <c r="I224" s="86">
        <f>'[6]Свод.'!AR77</f>
        <v>2425585.4910000004</v>
      </c>
      <c r="J224" s="84">
        <f t="shared" si="5"/>
        <v>2715888.07</v>
      </c>
      <c r="K224" s="84">
        <f t="shared" si="6"/>
        <v>11329944.151</v>
      </c>
      <c r="L224" s="95"/>
      <c r="M224" s="95"/>
      <c r="N224" s="95"/>
      <c r="O224" s="95"/>
      <c r="P224" s="95"/>
      <c r="Q224" s="95"/>
      <c r="R224" s="95"/>
      <c r="S224" s="95"/>
      <c r="T224" s="95"/>
    </row>
    <row r="225" spans="1:20" ht="30">
      <c r="A225" s="6" t="s">
        <v>134</v>
      </c>
      <c r="B225" s="15" t="s">
        <v>98</v>
      </c>
      <c r="C225" s="83" t="s">
        <v>16</v>
      </c>
      <c r="D225" s="86">
        <f>'[1]Свод.'!BA78</f>
        <v>6949500.7299999995</v>
      </c>
      <c r="E225" s="86">
        <f>'[2]Свод.'!AF78</f>
        <v>29193616.48</v>
      </c>
      <c r="F225" s="86">
        <f>'[3]Свод.'!O78</f>
        <v>8893347.56</v>
      </c>
      <c r="G225" s="86">
        <f>'[4]Свод.'!M78</f>
        <v>1487664.1800000002</v>
      </c>
      <c r="H225" s="86">
        <f>'[5]Свод.'!N78</f>
        <v>7152491.630000001</v>
      </c>
      <c r="I225" s="86">
        <f>'[6]Свод.'!AR78</f>
        <v>5994220.9</v>
      </c>
      <c r="J225" s="84">
        <f t="shared" si="5"/>
        <v>20274117.42</v>
      </c>
      <c r="K225" s="84">
        <f t="shared" si="6"/>
        <v>79944958.9</v>
      </c>
      <c r="L225" s="95">
        <f>K225</f>
        <v>79944958.9</v>
      </c>
      <c r="M225" s="95"/>
      <c r="N225" s="95"/>
      <c r="O225" s="95"/>
      <c r="P225" s="95"/>
      <c r="Q225" s="95"/>
      <c r="R225" s="95"/>
      <c r="S225" s="95"/>
      <c r="T225" s="95"/>
    </row>
    <row r="226" spans="1:20" ht="30">
      <c r="A226" s="6" t="s">
        <v>135</v>
      </c>
      <c r="B226" s="15" t="s">
        <v>100</v>
      </c>
      <c r="C226" s="83" t="s">
        <v>16</v>
      </c>
      <c r="D226" s="86">
        <f>'[1]Свод.'!BA79</f>
        <v>6825952.419999999</v>
      </c>
      <c r="E226" s="86">
        <f>'[2]Свод.'!AF79</f>
        <v>25851382.369999994</v>
      </c>
      <c r="F226" s="86">
        <f>'[3]Свод.'!O79</f>
        <v>8617814.11</v>
      </c>
      <c r="G226" s="86">
        <f>'[4]Свод.'!M79</f>
        <v>1516330.85</v>
      </c>
      <c r="H226" s="86">
        <f>'[5]Свод.'!N79</f>
        <v>7091136.580000001</v>
      </c>
      <c r="I226" s="86">
        <f>'[6]Свод.'!AR79</f>
        <v>6019292.68</v>
      </c>
      <c r="J226" s="84">
        <f t="shared" si="5"/>
        <v>20092866.96</v>
      </c>
      <c r="K226" s="84">
        <f>SUM(D226:J226)</f>
        <v>76014775.97</v>
      </c>
      <c r="L226" s="95">
        <f>K226</f>
        <v>76014775.97</v>
      </c>
      <c r="M226" s="95"/>
      <c r="N226" s="95"/>
      <c r="O226" s="95"/>
      <c r="P226" s="95"/>
      <c r="Q226" s="95"/>
      <c r="R226" s="95"/>
      <c r="S226" s="95"/>
      <c r="T226" s="95"/>
    </row>
    <row r="227" spans="1:20" ht="30">
      <c r="A227" s="6" t="s">
        <v>136</v>
      </c>
      <c r="B227" s="15" t="s">
        <v>102</v>
      </c>
      <c r="C227" s="83" t="s">
        <v>16</v>
      </c>
      <c r="D227" s="86">
        <f>'[1]Свод.'!BA80</f>
        <v>657952.6799999999</v>
      </c>
      <c r="E227" s="86">
        <f>'[2]Свод.'!AF80</f>
        <v>4524639.1899999995</v>
      </c>
      <c r="F227" s="86">
        <f>'[3]Свод.'!O80</f>
        <v>991509.9099999999</v>
      </c>
      <c r="G227" s="86">
        <f>'[4]Свод.'!M80</f>
        <v>70669.18999999999</v>
      </c>
      <c r="H227" s="86">
        <f>'[5]Свод.'!N80</f>
        <v>593385.4500000001</v>
      </c>
      <c r="I227" s="86">
        <f>'[6]Свод.'!AR80</f>
        <v>399896.6</v>
      </c>
      <c r="J227" s="84">
        <f t="shared" si="5"/>
        <v>1691323.85</v>
      </c>
      <c r="K227" s="84">
        <f t="shared" si="6"/>
        <v>8929376.87</v>
      </c>
      <c r="L227" s="95">
        <f>K227</f>
        <v>8929376.87</v>
      </c>
      <c r="M227" s="95"/>
      <c r="N227" s="95"/>
      <c r="O227" s="95"/>
      <c r="P227" s="95"/>
      <c r="Q227" s="95"/>
      <c r="R227" s="95"/>
      <c r="S227" s="95"/>
      <c r="T227" s="95"/>
    </row>
    <row r="228" spans="1:20" ht="30">
      <c r="A228" s="6" t="s">
        <v>137</v>
      </c>
      <c r="B228" s="16" t="s">
        <v>104</v>
      </c>
      <c r="C228" s="83" t="s">
        <v>16</v>
      </c>
      <c r="D228" s="86">
        <f>'[1]Свод.'!BA81</f>
        <v>0</v>
      </c>
      <c r="E228" s="86">
        <f>'[2]Свод.'!AF81</f>
        <v>0</v>
      </c>
      <c r="F228" s="86">
        <f>'[3]Свод.'!O81</f>
        <v>2</v>
      </c>
      <c r="G228" s="86">
        <f>'[4]Свод.'!M81</f>
        <v>0</v>
      </c>
      <c r="H228" s="86">
        <f>'[5]Свод.'!N81</f>
        <v>0</v>
      </c>
      <c r="I228" s="86">
        <f>'[6]Свод.'!AR81</f>
        <v>0</v>
      </c>
      <c r="J228" s="84">
        <f t="shared" si="5"/>
        <v>0</v>
      </c>
      <c r="K228" s="84">
        <f t="shared" si="6"/>
        <v>2</v>
      </c>
      <c r="L228" s="95"/>
      <c r="M228" s="95"/>
      <c r="N228" s="95"/>
      <c r="O228" s="95"/>
      <c r="P228" s="95"/>
      <c r="Q228" s="95"/>
      <c r="R228" s="95"/>
      <c r="S228" s="95"/>
      <c r="T228" s="95"/>
    </row>
    <row r="229" spans="1:20" ht="15">
      <c r="A229" s="107" t="s">
        <v>138</v>
      </c>
      <c r="B229" s="107"/>
      <c r="C229" s="104"/>
      <c r="D229" s="86">
        <f>'[1]Свод.'!BA82</f>
        <v>0</v>
      </c>
      <c r="E229" s="86">
        <f>'[2]Свод.'!AF82</f>
        <v>0</v>
      </c>
      <c r="F229" s="86">
        <f>'[3]Свод.'!O82</f>
        <v>0</v>
      </c>
      <c r="G229" s="86">
        <f>'[4]Свод.'!M82</f>
        <v>0</v>
      </c>
      <c r="H229" s="86">
        <f>'[5]Свод.'!N82</f>
        <v>0</v>
      </c>
      <c r="I229" s="86">
        <f>'[6]Свод.'!AR82</f>
        <v>0</v>
      </c>
      <c r="J229" s="84">
        <f t="shared" si="5"/>
        <v>0</v>
      </c>
      <c r="K229" s="84">
        <f t="shared" si="6"/>
        <v>0</v>
      </c>
      <c r="L229" s="95"/>
      <c r="M229" s="95"/>
      <c r="N229" s="95"/>
      <c r="O229" s="95"/>
      <c r="P229" s="95"/>
      <c r="Q229" s="95"/>
      <c r="R229" s="95"/>
      <c r="S229" s="95"/>
      <c r="T229" s="95"/>
    </row>
    <row r="230" spans="1:20" ht="15">
      <c r="A230" s="6" t="s">
        <v>139</v>
      </c>
      <c r="B230" s="16" t="s">
        <v>64</v>
      </c>
      <c r="C230" s="83" t="s">
        <v>65</v>
      </c>
      <c r="D230" s="86">
        <f>'[1]Свод.'!BA83</f>
        <v>0</v>
      </c>
      <c r="E230" s="86">
        <f>'[2]Свод.'!AF83</f>
        <v>0</v>
      </c>
      <c r="F230" s="86">
        <f>'[3]Свод.'!O83</f>
        <v>0</v>
      </c>
      <c r="G230" s="86">
        <f>'[4]Свод.'!M83</f>
        <v>0</v>
      </c>
      <c r="H230" s="86">
        <f>'[5]Свод.'!N83</f>
        <v>0</v>
      </c>
      <c r="I230" s="86">
        <f>'[6]Свод.'!AR83</f>
        <v>0</v>
      </c>
      <c r="J230" s="84">
        <f t="shared" si="5"/>
        <v>0</v>
      </c>
      <c r="K230" s="84">
        <f t="shared" si="6"/>
        <v>0</v>
      </c>
      <c r="L230" s="95"/>
      <c r="M230" s="95"/>
      <c r="N230" s="95"/>
      <c r="O230" s="95"/>
      <c r="P230" s="95"/>
      <c r="Q230" s="95"/>
      <c r="R230" s="95"/>
      <c r="S230" s="95"/>
      <c r="T230" s="95"/>
    </row>
    <row r="231" spans="1:20" ht="15">
      <c r="A231" s="6" t="s">
        <v>140</v>
      </c>
      <c r="B231" s="16" t="s">
        <v>67</v>
      </c>
      <c r="C231" s="83" t="s">
        <v>65</v>
      </c>
      <c r="D231" s="86">
        <f>'[1]Свод.'!BA84</f>
        <v>0</v>
      </c>
      <c r="E231" s="86">
        <f>'[2]Свод.'!AF84</f>
        <v>0</v>
      </c>
      <c r="F231" s="86">
        <f>'[3]Свод.'!O84</f>
        <v>0</v>
      </c>
      <c r="G231" s="86">
        <f>'[4]Свод.'!M84</f>
        <v>0</v>
      </c>
      <c r="H231" s="86">
        <f>'[5]Свод.'!N84</f>
        <v>0</v>
      </c>
      <c r="I231" s="86">
        <f>'[6]Свод.'!AR84</f>
        <v>0</v>
      </c>
      <c r="J231" s="84">
        <f t="shared" si="5"/>
        <v>0</v>
      </c>
      <c r="K231" s="84">
        <f t="shared" si="6"/>
        <v>0</v>
      </c>
      <c r="L231" s="95"/>
      <c r="M231" s="95"/>
      <c r="N231" s="95"/>
      <c r="O231" s="95"/>
      <c r="P231" s="95"/>
      <c r="Q231" s="95"/>
      <c r="R231" s="95"/>
      <c r="S231" s="95"/>
      <c r="T231" s="95"/>
    </row>
    <row r="232" spans="1:20" ht="30">
      <c r="A232" s="6" t="s">
        <v>141</v>
      </c>
      <c r="B232" s="16" t="s">
        <v>69</v>
      </c>
      <c r="C232" s="83" t="s">
        <v>65</v>
      </c>
      <c r="D232" s="86">
        <f>'[1]Свод.'!BA85</f>
        <v>0</v>
      </c>
      <c r="E232" s="86">
        <f>'[2]Свод.'!AF85</f>
        <v>0</v>
      </c>
      <c r="F232" s="86">
        <f>'[3]Свод.'!O85</f>
        <v>0</v>
      </c>
      <c r="G232" s="86">
        <f>'[4]Свод.'!M85</f>
        <v>0</v>
      </c>
      <c r="H232" s="86">
        <f>'[5]Свод.'!N85</f>
        <v>0</v>
      </c>
      <c r="I232" s="86">
        <f>'[6]Свод.'!AR85</f>
        <v>0</v>
      </c>
      <c r="J232" s="84">
        <f t="shared" si="5"/>
        <v>0</v>
      </c>
      <c r="K232" s="84">
        <f t="shared" si="6"/>
        <v>0</v>
      </c>
      <c r="L232" s="95"/>
      <c r="M232" s="95"/>
      <c r="N232" s="95"/>
      <c r="O232" s="95"/>
      <c r="P232" s="95"/>
      <c r="Q232" s="95"/>
      <c r="R232" s="95"/>
      <c r="S232" s="95"/>
      <c r="T232" s="95"/>
    </row>
    <row r="233" spans="1:20" ht="15">
      <c r="A233" s="6" t="s">
        <v>142</v>
      </c>
      <c r="B233" s="16" t="s">
        <v>71</v>
      </c>
      <c r="C233" s="83" t="s">
        <v>16</v>
      </c>
      <c r="D233" s="86">
        <f>'[1]Свод.'!BA86</f>
        <v>0</v>
      </c>
      <c r="E233" s="86">
        <f>'[2]Свод.'!AF86</f>
        <v>0</v>
      </c>
      <c r="F233" s="86">
        <f>'[3]Свод.'!O86</f>
        <v>0</v>
      </c>
      <c r="G233" s="86">
        <f>'[4]Свод.'!M86</f>
        <v>0</v>
      </c>
      <c r="H233" s="86">
        <f>'[5]Свод.'!N86</f>
        <v>0</v>
      </c>
      <c r="I233" s="86">
        <f>'[6]Свод.'!AR86</f>
        <v>0</v>
      </c>
      <c r="J233" s="84">
        <f t="shared" si="5"/>
        <v>0</v>
      </c>
      <c r="K233" s="84">
        <f t="shared" si="6"/>
        <v>0</v>
      </c>
      <c r="L233" s="95"/>
      <c r="M233" s="95"/>
      <c r="N233" s="95"/>
      <c r="O233" s="95"/>
      <c r="P233" s="95"/>
      <c r="Q233" s="95"/>
      <c r="R233" s="95"/>
      <c r="S233" s="95"/>
      <c r="T233" s="95"/>
    </row>
    <row r="234" spans="1:20" ht="15">
      <c r="A234" s="104" t="s">
        <v>143</v>
      </c>
      <c r="B234" s="105"/>
      <c r="C234" s="105"/>
      <c r="D234" s="86">
        <f>'[1]Свод.'!BA87</f>
        <v>0</v>
      </c>
      <c r="E234" s="86">
        <f>'[2]Свод.'!AF87</f>
        <v>0</v>
      </c>
      <c r="F234" s="86">
        <f>'[3]Свод.'!O87</f>
        <v>0</v>
      </c>
      <c r="G234" s="86">
        <f>'[4]Свод.'!M87</f>
        <v>0</v>
      </c>
      <c r="H234" s="86">
        <f>'[5]Свод.'!N87</f>
        <v>0</v>
      </c>
      <c r="I234" s="86">
        <f>'[6]Свод.'!AR87</f>
        <v>0</v>
      </c>
      <c r="J234" s="84">
        <f t="shared" si="5"/>
        <v>0</v>
      </c>
      <c r="K234" s="84">
        <f t="shared" si="6"/>
        <v>0</v>
      </c>
      <c r="L234" s="95"/>
      <c r="M234" s="95"/>
      <c r="N234" s="95"/>
      <c r="O234" s="95"/>
      <c r="P234" s="95"/>
      <c r="Q234" s="95"/>
      <c r="R234" s="95"/>
      <c r="S234" s="95"/>
      <c r="T234" s="95"/>
    </row>
    <row r="235" spans="1:20" ht="15">
      <c r="A235" s="6" t="s">
        <v>144</v>
      </c>
      <c r="B235" s="16" t="s">
        <v>145</v>
      </c>
      <c r="C235" s="83" t="s">
        <v>65</v>
      </c>
      <c r="D235" s="86">
        <f>'[1]Свод.'!BA88</f>
        <v>146</v>
      </c>
      <c r="E235" s="86">
        <f>'[2]Свод.'!AF88</f>
        <v>185</v>
      </c>
      <c r="F235" s="86">
        <f>'[3]Свод.'!O88</f>
        <v>91</v>
      </c>
      <c r="G235" s="86">
        <f>'[4]Свод.'!M88</f>
        <v>19</v>
      </c>
      <c r="H235" s="86">
        <f>'[5]Свод.'!N88</f>
        <v>143</v>
      </c>
      <c r="I235" s="86">
        <f>'[6]Свод.'!AR88</f>
        <v>156</v>
      </c>
      <c r="J235" s="84">
        <f t="shared" si="5"/>
        <v>158</v>
      </c>
      <c r="K235" s="84">
        <f t="shared" si="6"/>
        <v>898</v>
      </c>
      <c r="L235" s="95"/>
      <c r="M235" s="95"/>
      <c r="N235" s="95"/>
      <c r="O235" s="95"/>
      <c r="P235" s="95"/>
      <c r="Q235" s="95"/>
      <c r="R235" s="95"/>
      <c r="S235" s="95"/>
      <c r="T235" s="95"/>
    </row>
    <row r="236" spans="1:20" ht="15">
      <c r="A236" s="6" t="s">
        <v>146</v>
      </c>
      <c r="B236" s="16" t="s">
        <v>147</v>
      </c>
      <c r="C236" s="83" t="s">
        <v>65</v>
      </c>
      <c r="D236" s="86">
        <f>'[1]Свод.'!BA89</f>
        <v>7</v>
      </c>
      <c r="E236" s="86">
        <f>'[2]Свод.'!AF89</f>
        <v>13</v>
      </c>
      <c r="F236" s="86">
        <f>'[3]Свод.'!O89</f>
        <v>12</v>
      </c>
      <c r="G236" s="86">
        <f>'[4]Свод.'!M89</f>
        <v>4</v>
      </c>
      <c r="H236" s="86">
        <f>'[5]Свод.'!N89</f>
        <v>14</v>
      </c>
      <c r="I236" s="86">
        <f>'[6]Свод.'!AR89</f>
        <v>10</v>
      </c>
      <c r="J236" s="84">
        <f t="shared" si="5"/>
        <v>17</v>
      </c>
      <c r="K236" s="84">
        <f t="shared" si="6"/>
        <v>77</v>
      </c>
      <c r="L236" s="95"/>
      <c r="M236" s="95"/>
      <c r="N236" s="95"/>
      <c r="O236" s="95"/>
      <c r="P236" s="95"/>
      <c r="Q236" s="95"/>
      <c r="R236" s="95"/>
      <c r="S236" s="95"/>
      <c r="T236" s="95"/>
    </row>
    <row r="237" spans="1:20" ht="30">
      <c r="A237" s="6" t="s">
        <v>148</v>
      </c>
      <c r="B237" s="16" t="s">
        <v>149</v>
      </c>
      <c r="C237" s="83" t="s">
        <v>16</v>
      </c>
      <c r="D237" s="86">
        <f>'[1]Свод.'!BA90</f>
        <v>530930</v>
      </c>
      <c r="E237" s="86">
        <f>'[2]Свод.'!AF90</f>
        <v>634006</v>
      </c>
      <c r="F237" s="86">
        <f>'[3]Свод.'!O90</f>
        <v>319702</v>
      </c>
      <c r="G237" s="86">
        <f>'[4]Свод.'!M90</f>
        <v>108571</v>
      </c>
      <c r="H237" s="86">
        <f>'[5]Свод.'!N90</f>
        <v>478036</v>
      </c>
      <c r="I237" s="86">
        <f>'[6]Свод.'!AR90</f>
        <v>405318</v>
      </c>
      <c r="J237" s="84">
        <f t="shared" si="5"/>
        <v>850308</v>
      </c>
      <c r="K237" s="84">
        <f t="shared" si="6"/>
        <v>3326871</v>
      </c>
      <c r="L237" s="95"/>
      <c r="M237" s="95"/>
      <c r="N237" s="95"/>
      <c r="O237" s="95"/>
      <c r="P237" s="95"/>
      <c r="Q237" s="95"/>
      <c r="R237" s="95"/>
      <c r="S237" s="95"/>
      <c r="T237" s="95"/>
    </row>
    <row r="238" spans="1:20" ht="15">
      <c r="A238" s="2"/>
      <c r="B238" s="3"/>
      <c r="C238" s="1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</row>
    <row r="239" spans="1:20" ht="15">
      <c r="A239" s="2"/>
      <c r="B239" s="3"/>
      <c r="C239" s="1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</row>
    <row r="240" spans="1:20" ht="15">
      <c r="A240" s="2"/>
      <c r="B240" s="3"/>
      <c r="C240" s="1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</row>
    <row r="241" spans="1:20" ht="15">
      <c r="A241" s="2"/>
      <c r="B241" s="3"/>
      <c r="C241" s="1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</row>
    <row r="242" spans="1:20" ht="15">
      <c r="A242" s="27" t="s">
        <v>1</v>
      </c>
      <c r="B242" s="28" t="s">
        <v>152</v>
      </c>
      <c r="C242" s="27"/>
      <c r="D242" s="97" t="s">
        <v>248</v>
      </c>
      <c r="E242" s="97" t="s">
        <v>249</v>
      </c>
      <c r="F242" s="97" t="s">
        <v>250</v>
      </c>
      <c r="G242" s="97" t="s">
        <v>251</v>
      </c>
      <c r="H242" s="97" t="s">
        <v>252</v>
      </c>
      <c r="I242" s="97" t="s">
        <v>253</v>
      </c>
      <c r="J242" s="97" t="s">
        <v>254</v>
      </c>
      <c r="K242" s="98" t="s">
        <v>255</v>
      </c>
      <c r="L242" s="95"/>
      <c r="M242" s="95"/>
      <c r="N242" s="95"/>
      <c r="O242" s="95"/>
      <c r="P242" s="95"/>
      <c r="Q242" s="95"/>
      <c r="R242" s="95"/>
      <c r="S242" s="95"/>
      <c r="T242" s="95"/>
    </row>
    <row r="243" spans="1:20" ht="15.75">
      <c r="A243" s="27"/>
      <c r="B243" s="29" t="s">
        <v>154</v>
      </c>
      <c r="C243" s="30"/>
      <c r="D243" s="84">
        <f>'[1]Свод.'!BE99</f>
        <v>15578693.974699998</v>
      </c>
      <c r="E243" s="84">
        <f>'[2]Свод.'!AF96</f>
        <v>55664048.2903</v>
      </c>
      <c r="F243" s="84">
        <f>'[3]Свод.'!O97</f>
        <v>20418010.520200003</v>
      </c>
      <c r="G243" s="84">
        <f>'[4]Свод.'!M97</f>
        <v>4304013.7403</v>
      </c>
      <c r="H243" s="84">
        <f>'[5]Свод.'!N97</f>
        <v>13598252.7904</v>
      </c>
      <c r="I243" s="84">
        <f>'[6]Свод.'!AR96</f>
        <v>10600103.730999999</v>
      </c>
      <c r="J243" s="84">
        <f>U97</f>
        <v>25201420.67</v>
      </c>
      <c r="K243" s="84">
        <f>SUM(D243:J243)</f>
        <v>145364543.7169</v>
      </c>
      <c r="L243" s="95"/>
      <c r="M243" s="95"/>
      <c r="N243" s="95"/>
      <c r="O243" s="95"/>
      <c r="P243" s="95"/>
      <c r="Q243" s="95"/>
      <c r="R243" s="95"/>
      <c r="S243" s="95"/>
      <c r="T243" s="95"/>
    </row>
    <row r="244" spans="1:20" ht="15">
      <c r="A244" s="27">
        <v>1</v>
      </c>
      <c r="B244" s="32" t="s">
        <v>155</v>
      </c>
      <c r="C244" s="33"/>
      <c r="D244" s="84">
        <f>'[1]Свод.'!BE100</f>
        <v>1559832</v>
      </c>
      <c r="E244" s="84">
        <f>'[2]Свод.'!AF97</f>
        <v>4156163</v>
      </c>
      <c r="F244" s="84">
        <f>'[3]Свод.'!O98</f>
        <v>1522968</v>
      </c>
      <c r="G244" s="84">
        <f>'[4]Свод.'!M98</f>
        <v>375194</v>
      </c>
      <c r="H244" s="84">
        <f>'[5]Свод.'!N98</f>
        <v>1451111</v>
      </c>
      <c r="I244" s="84">
        <f>'[6]Свод.'!AR97</f>
        <v>845645</v>
      </c>
      <c r="J244" s="84">
        <f aca="true" t="shared" si="7" ref="J244:J289">U98</f>
        <v>3206916</v>
      </c>
      <c r="K244" s="84">
        <f aca="true" t="shared" si="8" ref="K244:K289">SUM(D244:J244)</f>
        <v>13117829</v>
      </c>
      <c r="L244" s="95"/>
      <c r="M244" s="95"/>
      <c r="N244" s="95"/>
      <c r="O244" s="95"/>
      <c r="P244" s="95"/>
      <c r="Q244" s="95"/>
      <c r="R244" s="95"/>
      <c r="S244" s="95"/>
      <c r="T244" s="95"/>
    </row>
    <row r="245" spans="1:20" ht="15">
      <c r="A245" s="27">
        <f>SUM(A244)+1</f>
        <v>2</v>
      </c>
      <c r="B245" s="32" t="s">
        <v>156</v>
      </c>
      <c r="C245" s="33"/>
      <c r="D245" s="84">
        <f>'[1]Свод.'!BE101</f>
        <v>831667</v>
      </c>
      <c r="E245" s="84">
        <f>'[2]Свод.'!AF98</f>
        <v>3700883</v>
      </c>
      <c r="F245" s="84">
        <f>'[3]Свод.'!O99</f>
        <v>2050038</v>
      </c>
      <c r="G245" s="84">
        <f>'[4]Свод.'!M99</f>
        <v>193516</v>
      </c>
      <c r="H245" s="84">
        <f>'[5]Свод.'!N99</f>
        <v>776354</v>
      </c>
      <c r="I245" s="84">
        <f>'[6]Свод.'!AR98</f>
        <v>451622</v>
      </c>
      <c r="J245" s="84">
        <f t="shared" si="7"/>
        <v>1709611</v>
      </c>
      <c r="K245" s="84">
        <f t="shared" si="8"/>
        <v>9713691</v>
      </c>
      <c r="L245" s="95"/>
      <c r="M245" s="95"/>
      <c r="N245" s="95"/>
      <c r="O245" s="95"/>
      <c r="P245" s="95"/>
      <c r="Q245" s="95"/>
      <c r="R245" s="95"/>
      <c r="S245" s="95"/>
      <c r="T245" s="95"/>
    </row>
    <row r="246" spans="1:20" ht="15">
      <c r="A246" s="35">
        <f>SUM(A245)+1</f>
        <v>3</v>
      </c>
      <c r="B246" s="36" t="s">
        <v>157</v>
      </c>
      <c r="C246" s="37"/>
      <c r="D246" s="84">
        <f>'[1]Свод.'!BE102</f>
        <v>367921.8900000001</v>
      </c>
      <c r="E246" s="84">
        <f>'[2]Свод.'!AF99</f>
        <v>1226295.4400000004</v>
      </c>
      <c r="F246" s="84">
        <f>'[3]Свод.'!O100</f>
        <v>418658.20999999996</v>
      </c>
      <c r="G246" s="84">
        <f>'[4]Свод.'!M100</f>
        <v>117338.62999999999</v>
      </c>
      <c r="H246" s="84">
        <f>'[5]Свод.'!N100</f>
        <v>275046.41</v>
      </c>
      <c r="I246" s="84">
        <f>'[6]Свод.'!AR99</f>
        <v>224924.73000000004</v>
      </c>
      <c r="J246" s="84">
        <f t="shared" si="7"/>
        <v>530898.29</v>
      </c>
      <c r="K246" s="84">
        <f t="shared" si="8"/>
        <v>3161083.6000000006</v>
      </c>
      <c r="L246" s="95"/>
      <c r="M246" s="95"/>
      <c r="N246" s="95"/>
      <c r="O246" s="95"/>
      <c r="P246" s="95"/>
      <c r="Q246" s="95"/>
      <c r="R246" s="95"/>
      <c r="S246" s="95"/>
      <c r="T246" s="95"/>
    </row>
    <row r="247" spans="1:20" ht="15">
      <c r="A247" s="27">
        <f>SUM(A246)+1</f>
        <v>4</v>
      </c>
      <c r="B247" s="32" t="s">
        <v>158</v>
      </c>
      <c r="C247" s="37"/>
      <c r="D247" s="84">
        <f>'[1]Свод.'!BE103</f>
        <v>0</v>
      </c>
      <c r="E247" s="84">
        <f>'[2]Свод.'!AF100</f>
        <v>1908536</v>
      </c>
      <c r="F247" s="84">
        <f>'[3]Свод.'!O101</f>
        <v>378324</v>
      </c>
      <c r="G247" s="84">
        <f>'[4]Свод.'!M101</f>
        <v>0</v>
      </c>
      <c r="H247" s="84">
        <f>'[5]Свод.'!N101</f>
        <v>0</v>
      </c>
      <c r="I247" s="84">
        <f>'[6]Свод.'!AR100</f>
        <v>0</v>
      </c>
      <c r="J247" s="84">
        <f t="shared" si="7"/>
        <v>0</v>
      </c>
      <c r="K247" s="84">
        <f t="shared" si="8"/>
        <v>2286860</v>
      </c>
      <c r="L247" s="95"/>
      <c r="M247" s="95"/>
      <c r="N247" s="95"/>
      <c r="O247" s="95"/>
      <c r="P247" s="95"/>
      <c r="Q247" s="95"/>
      <c r="R247" s="95"/>
      <c r="S247" s="95"/>
      <c r="T247" s="95"/>
    </row>
    <row r="248" spans="1:20" ht="15">
      <c r="A248" s="27">
        <f>SUM(A247)+1</f>
        <v>5</v>
      </c>
      <c r="B248" s="32" t="s">
        <v>159</v>
      </c>
      <c r="C248" s="37"/>
      <c r="D248" s="84">
        <f>'[1]Свод.'!BE104</f>
        <v>0</v>
      </c>
      <c r="E248" s="84">
        <f>'[2]Свод.'!AF101</f>
        <v>6727000.79</v>
      </c>
      <c r="F248" s="84">
        <f>'[3]Свод.'!O102</f>
        <v>2731124.07</v>
      </c>
      <c r="G248" s="84">
        <f>'[4]Свод.'!M102</f>
        <v>0</v>
      </c>
      <c r="H248" s="84">
        <f>'[5]Свод.'!N102</f>
        <v>0</v>
      </c>
      <c r="I248" s="84">
        <f>'[6]Свод.'!AR101</f>
        <v>0</v>
      </c>
      <c r="J248" s="84">
        <f t="shared" si="7"/>
        <v>0</v>
      </c>
      <c r="K248" s="84">
        <f t="shared" si="8"/>
        <v>9458124.86</v>
      </c>
      <c r="L248" s="95"/>
      <c r="M248" s="95"/>
      <c r="N248" s="95"/>
      <c r="O248" s="95"/>
      <c r="P248" s="95"/>
      <c r="Q248" s="95"/>
      <c r="R248" s="95"/>
      <c r="S248" s="95"/>
      <c r="T248" s="95"/>
    </row>
    <row r="249" spans="1:20" ht="15">
      <c r="A249" s="27" t="s">
        <v>7</v>
      </c>
      <c r="B249" s="40" t="s">
        <v>160</v>
      </c>
      <c r="C249" s="37"/>
      <c r="D249" s="84">
        <f>'[1]Свод.'!BE105</f>
        <v>0</v>
      </c>
      <c r="E249" s="84">
        <f>'[2]Свод.'!AF102</f>
        <v>0</v>
      </c>
      <c r="F249" s="84">
        <f>'[3]Свод.'!O103</f>
        <v>0</v>
      </c>
      <c r="G249" s="84">
        <f>'[4]Свод.'!M103</f>
        <v>0</v>
      </c>
      <c r="H249" s="84">
        <f>'[5]Свод.'!N103</f>
        <v>0</v>
      </c>
      <c r="I249" s="84">
        <f>'[6]Свод.'!AR102</f>
        <v>0</v>
      </c>
      <c r="J249" s="84">
        <f t="shared" si="7"/>
        <v>0</v>
      </c>
      <c r="K249" s="84">
        <f t="shared" si="8"/>
        <v>0</v>
      </c>
      <c r="L249" s="95"/>
      <c r="M249" s="95"/>
      <c r="N249" s="95"/>
      <c r="O249" s="95"/>
      <c r="P249" s="95"/>
      <c r="Q249" s="95"/>
      <c r="R249" s="95"/>
      <c r="S249" s="95"/>
      <c r="T249" s="95"/>
    </row>
    <row r="250" spans="1:20" ht="15">
      <c r="A250" s="27"/>
      <c r="B250" s="41" t="s">
        <v>161</v>
      </c>
      <c r="C250" s="37"/>
      <c r="D250" s="84">
        <f>'[1]Свод.'!BE106</f>
        <v>0</v>
      </c>
      <c r="E250" s="84">
        <f>'[2]Свод.'!AF103</f>
        <v>5686553.37</v>
      </c>
      <c r="F250" s="84">
        <f>'[3]Свод.'!O104</f>
        <v>2112016.2600000002</v>
      </c>
      <c r="G250" s="84">
        <f>'[4]Свод.'!M104</f>
        <v>0</v>
      </c>
      <c r="H250" s="84">
        <f>'[5]Свод.'!N104</f>
        <v>0</v>
      </c>
      <c r="I250" s="84">
        <f>'[6]Свод.'!AR103</f>
        <v>0</v>
      </c>
      <c r="J250" s="84">
        <f t="shared" si="7"/>
        <v>0</v>
      </c>
      <c r="K250" s="84">
        <f t="shared" si="8"/>
        <v>7798569.630000001</v>
      </c>
      <c r="L250" s="95"/>
      <c r="M250" s="95"/>
      <c r="N250" s="95"/>
      <c r="O250" s="95"/>
      <c r="P250" s="95"/>
      <c r="Q250" s="95"/>
      <c r="R250" s="95"/>
      <c r="S250" s="95"/>
      <c r="T250" s="95"/>
    </row>
    <row r="251" spans="1:20" ht="15">
      <c r="A251" s="27"/>
      <c r="B251" s="41" t="s">
        <v>162</v>
      </c>
      <c r="C251" s="37"/>
      <c r="D251" s="84">
        <f>'[1]Свод.'!BE107</f>
        <v>0</v>
      </c>
      <c r="E251" s="84">
        <f>'[2]Свод.'!AF104</f>
        <v>329858.6</v>
      </c>
      <c r="F251" s="84">
        <f>'[3]Свод.'!O105</f>
        <v>120917.78</v>
      </c>
      <c r="G251" s="84">
        <f>'[4]Свод.'!M105</f>
        <v>0</v>
      </c>
      <c r="H251" s="84">
        <f>'[5]Свод.'!N105</f>
        <v>0</v>
      </c>
      <c r="I251" s="84">
        <f>'[6]Свод.'!AR104</f>
        <v>0</v>
      </c>
      <c r="J251" s="84">
        <f t="shared" si="7"/>
        <v>0</v>
      </c>
      <c r="K251" s="84">
        <f t="shared" si="8"/>
        <v>450776.38</v>
      </c>
      <c r="L251" s="95"/>
      <c r="M251" s="95"/>
      <c r="N251" s="95"/>
      <c r="O251" s="95"/>
      <c r="P251" s="95"/>
      <c r="Q251" s="95"/>
      <c r="R251" s="95"/>
      <c r="S251" s="95"/>
      <c r="T251" s="95"/>
    </row>
    <row r="252" spans="1:20" ht="15">
      <c r="A252" s="27" t="s">
        <v>7</v>
      </c>
      <c r="B252" s="42" t="s">
        <v>163</v>
      </c>
      <c r="C252" s="37"/>
      <c r="D252" s="84">
        <f>'[1]Свод.'!BE108</f>
        <v>0</v>
      </c>
      <c r="E252" s="84">
        <f>'[2]Свод.'!AF105</f>
        <v>670224.82</v>
      </c>
      <c r="F252" s="84">
        <f>'[3]Свод.'!O106</f>
        <v>485713.03</v>
      </c>
      <c r="G252" s="84">
        <f>'[4]Свод.'!M106</f>
        <v>0</v>
      </c>
      <c r="H252" s="84">
        <f>'[5]Свод.'!N106</f>
        <v>0</v>
      </c>
      <c r="I252" s="84">
        <f>'[6]Свод.'!AR105</f>
        <v>0</v>
      </c>
      <c r="J252" s="84">
        <f t="shared" si="7"/>
        <v>0</v>
      </c>
      <c r="K252" s="84">
        <f t="shared" si="8"/>
        <v>1155937.85</v>
      </c>
      <c r="L252" s="95"/>
      <c r="M252" s="95"/>
      <c r="N252" s="95"/>
      <c r="O252" s="95"/>
      <c r="P252" s="95"/>
      <c r="Q252" s="95"/>
      <c r="R252" s="95"/>
      <c r="S252" s="95"/>
      <c r="T252" s="95"/>
    </row>
    <row r="253" spans="1:20" ht="15">
      <c r="A253" s="43" t="s">
        <v>7</v>
      </c>
      <c r="B253" s="44" t="s">
        <v>185</v>
      </c>
      <c r="C253" s="45"/>
      <c r="D253" s="84">
        <f>'[1]Свод.'!BE109</f>
        <v>0</v>
      </c>
      <c r="E253" s="84">
        <f>'[2]Свод.'!AF106</f>
        <v>40364</v>
      </c>
      <c r="F253" s="84">
        <f>'[3]Свод.'!O107</f>
        <v>12477</v>
      </c>
      <c r="G253" s="84">
        <f>'[4]Свод.'!M107</f>
        <v>0</v>
      </c>
      <c r="H253" s="84">
        <f>'[5]Свод.'!N107</f>
        <v>0</v>
      </c>
      <c r="I253" s="84">
        <f>'[6]Свод.'!AR106</f>
        <v>0</v>
      </c>
      <c r="J253" s="84">
        <f t="shared" si="7"/>
        <v>0</v>
      </c>
      <c r="K253" s="84">
        <f t="shared" si="8"/>
        <v>52841</v>
      </c>
      <c r="L253" s="95"/>
      <c r="M253" s="95"/>
      <c r="N253" s="95"/>
      <c r="O253" s="95"/>
      <c r="P253" s="95"/>
      <c r="Q253" s="95"/>
      <c r="R253" s="95"/>
      <c r="S253" s="95"/>
      <c r="T253" s="95"/>
    </row>
    <row r="254" spans="1:20" ht="75">
      <c r="A254" s="27">
        <f>SUM(A248)+1</f>
        <v>6</v>
      </c>
      <c r="B254" s="47" t="s">
        <v>164</v>
      </c>
      <c r="C254" s="48"/>
      <c r="D254" s="84">
        <f>'[1]Свод.'!BE110</f>
        <v>7004540.250000001</v>
      </c>
      <c r="E254" s="84">
        <f>'[2]Свод.'!AF107</f>
        <v>16607168.459999995</v>
      </c>
      <c r="F254" s="84">
        <f>'[3]Свод.'!O108</f>
        <v>5062492.51</v>
      </c>
      <c r="G254" s="84">
        <f>'[4]Свод.'!M108</f>
        <v>1767960.67</v>
      </c>
      <c r="H254" s="84">
        <f>'[5]Свод.'!N108</f>
        <v>4322974.54</v>
      </c>
      <c r="I254" s="84">
        <f>'[6]Свод.'!AR107</f>
        <v>4871534.350000001</v>
      </c>
      <c r="J254" s="84">
        <f t="shared" si="7"/>
        <v>7676941.96</v>
      </c>
      <c r="K254" s="84">
        <f t="shared" si="8"/>
        <v>47313612.74</v>
      </c>
      <c r="L254" s="95"/>
      <c r="M254" s="95"/>
      <c r="N254" s="95"/>
      <c r="O254" s="95"/>
      <c r="P254" s="95"/>
      <c r="Q254" s="95"/>
      <c r="R254" s="95"/>
      <c r="S254" s="95"/>
      <c r="T254" s="95"/>
    </row>
    <row r="255" spans="1:20" ht="60">
      <c r="A255" s="49" t="s">
        <v>7</v>
      </c>
      <c r="B255" s="50" t="s">
        <v>165</v>
      </c>
      <c r="C255" s="51"/>
      <c r="D255" s="84">
        <f>'[1]Свод.'!BE111</f>
        <v>3430161</v>
      </c>
      <c r="E255" s="84">
        <f>'[2]Свод.'!AF108</f>
        <v>6409681</v>
      </c>
      <c r="F255" s="84">
        <f>'[3]Свод.'!O109</f>
        <v>1778503</v>
      </c>
      <c r="G255" s="84">
        <f>'[4]Свод.'!M109</f>
        <v>1003624</v>
      </c>
      <c r="H255" s="84">
        <f>'[5]Свод.'!N109</f>
        <v>1928713</v>
      </c>
      <c r="I255" s="84">
        <f>'[6]Свод.'!AR108</f>
        <v>2854158</v>
      </c>
      <c r="J255" s="84">
        <f t="shared" si="7"/>
        <v>3166925</v>
      </c>
      <c r="K255" s="84">
        <f t="shared" si="8"/>
        <v>20571765</v>
      </c>
      <c r="L255" s="95"/>
      <c r="M255" s="95"/>
      <c r="N255" s="95"/>
      <c r="O255" s="95"/>
      <c r="P255" s="95"/>
      <c r="Q255" s="95"/>
      <c r="R255" s="95"/>
      <c r="S255" s="95"/>
      <c r="T255" s="95"/>
    </row>
    <row r="256" spans="1:20" ht="15">
      <c r="A256" s="53" t="s">
        <v>7</v>
      </c>
      <c r="B256" s="54" t="s">
        <v>166</v>
      </c>
      <c r="C256" s="37"/>
      <c r="D256" s="84">
        <f>'[1]Свод.'!BE112</f>
        <v>1059918</v>
      </c>
      <c r="E256" s="84">
        <f>'[2]Свод.'!AF109</f>
        <v>1980589</v>
      </c>
      <c r="F256" s="84">
        <f>'[3]Свод.'!O110</f>
        <v>549559</v>
      </c>
      <c r="G256" s="84">
        <f>'[4]Свод.'!M110</f>
        <v>310120</v>
      </c>
      <c r="H256" s="84">
        <f>'[5]Свод.'!N110</f>
        <v>595973</v>
      </c>
      <c r="I256" s="84">
        <f>'[6]Свод.'!AR109</f>
        <v>881936</v>
      </c>
      <c r="J256" s="84">
        <f t="shared" si="7"/>
        <v>979199</v>
      </c>
      <c r="K256" s="84">
        <f t="shared" si="8"/>
        <v>6357294</v>
      </c>
      <c r="L256" s="95"/>
      <c r="M256" s="95"/>
      <c r="N256" s="95"/>
      <c r="O256" s="95"/>
      <c r="P256" s="95"/>
      <c r="Q256" s="95"/>
      <c r="R256" s="95"/>
      <c r="S256" s="95"/>
      <c r="T256" s="95"/>
    </row>
    <row r="257" spans="1:20" ht="15">
      <c r="A257" s="53" t="s">
        <v>7</v>
      </c>
      <c r="B257" s="54" t="s">
        <v>167</v>
      </c>
      <c r="C257" s="37"/>
      <c r="D257" s="84">
        <f>'[1]Свод.'!BE113</f>
        <v>257269.97000000006</v>
      </c>
      <c r="E257" s="84">
        <f>'[2]Свод.'!AF110</f>
        <v>536698.62</v>
      </c>
      <c r="F257" s="84">
        <f>'[3]Свод.'!O111</f>
        <v>220225.05000000005</v>
      </c>
      <c r="G257" s="84">
        <f>'[4]Свод.'!M111</f>
        <v>36348.39</v>
      </c>
      <c r="H257" s="84">
        <f>'[5]Свод.'!N111</f>
        <v>195562.42000000004</v>
      </c>
      <c r="I257" s="84">
        <f>'[6]Свод.'!AR110</f>
        <v>108706.67999999996</v>
      </c>
      <c r="J257" s="84">
        <f t="shared" si="7"/>
        <v>232208.84999999998</v>
      </c>
      <c r="K257" s="84">
        <f t="shared" si="8"/>
        <v>1587019.98</v>
      </c>
      <c r="L257" s="95"/>
      <c r="M257" s="95"/>
      <c r="N257" s="95"/>
      <c r="O257" s="95"/>
      <c r="P257" s="95"/>
      <c r="Q257" s="95"/>
      <c r="R257" s="95"/>
      <c r="S257" s="95"/>
      <c r="T257" s="95"/>
    </row>
    <row r="258" spans="1:20" ht="15">
      <c r="A258" s="53" t="s">
        <v>7</v>
      </c>
      <c r="B258" s="54" t="s">
        <v>168</v>
      </c>
      <c r="C258" s="37"/>
      <c r="D258" s="84">
        <f>'[1]Свод.'!BE114</f>
        <v>24865</v>
      </c>
      <c r="E258" s="84">
        <f>'[2]Свод.'!AF111</f>
        <v>250629</v>
      </c>
      <c r="F258" s="84">
        <f>'[3]Свод.'!O112</f>
        <v>270040</v>
      </c>
      <c r="G258" s="84">
        <f>'[4]Свод.'!M112</f>
        <v>12298</v>
      </c>
      <c r="H258" s="84">
        <f>'[5]Свод.'!N112</f>
        <v>22914</v>
      </c>
      <c r="I258" s="84">
        <f>'[6]Свод.'!AR111</f>
        <v>14787</v>
      </c>
      <c r="J258" s="84">
        <f t="shared" si="7"/>
        <v>51052</v>
      </c>
      <c r="K258" s="84">
        <f t="shared" si="8"/>
        <v>646585</v>
      </c>
      <c r="L258" s="95"/>
      <c r="M258" s="95"/>
      <c r="N258" s="95"/>
      <c r="O258" s="95"/>
      <c r="P258" s="95"/>
      <c r="Q258" s="95"/>
      <c r="R258" s="95"/>
      <c r="S258" s="95"/>
      <c r="T258" s="95"/>
    </row>
    <row r="259" spans="1:20" ht="15">
      <c r="A259" s="53"/>
      <c r="B259" s="54"/>
      <c r="C259" s="37"/>
      <c r="D259" s="84">
        <f>'[1]Свод.'!BE115</f>
        <v>14772</v>
      </c>
      <c r="E259" s="84">
        <f>'[2]Свод.'!AF112</f>
        <v>57516</v>
      </c>
      <c r="F259" s="84">
        <f>'[3]Свод.'!O113</f>
        <v>22472</v>
      </c>
      <c r="G259" s="84">
        <f>'[4]Свод.'!M113</f>
        <v>12298</v>
      </c>
      <c r="H259" s="84">
        <f>'[5]Свод.'!N113</f>
        <v>15085</v>
      </c>
      <c r="I259" s="84">
        <f>'[6]Свод.'!AR112</f>
        <v>9743</v>
      </c>
      <c r="J259" s="84">
        <f t="shared" si="7"/>
        <v>33631</v>
      </c>
      <c r="K259" s="84">
        <f t="shared" si="8"/>
        <v>165517</v>
      </c>
      <c r="L259" s="95"/>
      <c r="M259" s="95"/>
      <c r="N259" s="95"/>
      <c r="O259" s="95"/>
      <c r="P259" s="95"/>
      <c r="Q259" s="95"/>
      <c r="R259" s="95"/>
      <c r="S259" s="95"/>
      <c r="T259" s="95"/>
    </row>
    <row r="260" spans="1:20" ht="15">
      <c r="A260" s="53"/>
      <c r="B260" s="54"/>
      <c r="C260" s="37"/>
      <c r="D260" s="84">
        <f>'[1]Свод.'!BE116</f>
        <v>10093</v>
      </c>
      <c r="E260" s="84">
        <f>'[2]Свод.'!AF113</f>
        <v>120981</v>
      </c>
      <c r="F260" s="84">
        <f>'[3]Свод.'!O114</f>
        <v>84037</v>
      </c>
      <c r="G260" s="84">
        <f>'[4]Свод.'!M114</f>
        <v>0</v>
      </c>
      <c r="H260" s="84">
        <f>'[5]Свод.'!N114</f>
        <v>7829</v>
      </c>
      <c r="I260" s="84">
        <f>'[6]Свод.'!AR113</f>
        <v>5044</v>
      </c>
      <c r="J260" s="84">
        <f t="shared" si="7"/>
        <v>17421</v>
      </c>
      <c r="K260" s="84">
        <f t="shared" si="8"/>
        <v>245405</v>
      </c>
      <c r="L260" s="95"/>
      <c r="M260" s="95"/>
      <c r="N260" s="95"/>
      <c r="O260" s="95"/>
      <c r="P260" s="95"/>
      <c r="Q260" s="95"/>
      <c r="R260" s="95"/>
      <c r="S260" s="95"/>
      <c r="T260" s="95"/>
    </row>
    <row r="261" spans="1:20" ht="15">
      <c r="A261" s="53"/>
      <c r="B261" s="54"/>
      <c r="C261" s="37"/>
      <c r="D261" s="84">
        <f>'[1]Свод.'!BE117</f>
        <v>0</v>
      </c>
      <c r="E261" s="84">
        <f>'[2]Свод.'!AF114</f>
        <v>6974</v>
      </c>
      <c r="F261" s="84">
        <f>'[3]Свод.'!O115</f>
        <v>163531</v>
      </c>
      <c r="G261" s="84">
        <f>'[4]Свод.'!M115</f>
        <v>0</v>
      </c>
      <c r="H261" s="84">
        <f>'[5]Свод.'!N115</f>
        <v>0</v>
      </c>
      <c r="I261" s="84">
        <f>'[6]Свод.'!AR114</f>
        <v>0</v>
      </c>
      <c r="J261" s="84">
        <f t="shared" si="7"/>
        <v>0</v>
      </c>
      <c r="K261" s="84">
        <f t="shared" si="8"/>
        <v>170505</v>
      </c>
      <c r="L261" s="95"/>
      <c r="M261" s="95"/>
      <c r="N261" s="95"/>
      <c r="O261" s="95"/>
      <c r="P261" s="95"/>
      <c r="Q261" s="95"/>
      <c r="R261" s="95"/>
      <c r="S261" s="95"/>
      <c r="T261" s="95"/>
    </row>
    <row r="262" spans="1:20" ht="15">
      <c r="A262" s="53"/>
      <c r="B262" s="54"/>
      <c r="C262" s="37"/>
      <c r="D262" s="84">
        <f>'[1]Свод.'!BE118</f>
        <v>0</v>
      </c>
      <c r="E262" s="84">
        <f>'[2]Свод.'!AF115</f>
        <v>65158</v>
      </c>
      <c r="F262" s="84">
        <f>'[3]Свод.'!O116</f>
        <v>0</v>
      </c>
      <c r="G262" s="84">
        <f>'[4]Свод.'!M116</f>
        <v>0</v>
      </c>
      <c r="H262" s="84">
        <f>'[5]Свод.'!N116</f>
        <v>0</v>
      </c>
      <c r="I262" s="84">
        <f>'[6]Свод.'!AR115</f>
        <v>0</v>
      </c>
      <c r="J262" s="84">
        <f t="shared" si="7"/>
        <v>0</v>
      </c>
      <c r="K262" s="84">
        <f t="shared" si="8"/>
        <v>65158</v>
      </c>
      <c r="L262" s="95"/>
      <c r="M262" s="95"/>
      <c r="N262" s="95"/>
      <c r="O262" s="95"/>
      <c r="P262" s="95"/>
      <c r="Q262" s="95"/>
      <c r="R262" s="95"/>
      <c r="S262" s="95"/>
      <c r="T262" s="95"/>
    </row>
    <row r="263" spans="1:20" ht="15">
      <c r="A263" s="53"/>
      <c r="B263" s="54"/>
      <c r="C263" s="37"/>
      <c r="D263" s="84">
        <f>'[1]Свод.'!BE119</f>
        <v>0</v>
      </c>
      <c r="E263" s="84">
        <f>'[2]Свод.'!AF116</f>
        <v>0</v>
      </c>
      <c r="F263" s="84">
        <f>'[3]Свод.'!O117</f>
        <v>0</v>
      </c>
      <c r="G263" s="84">
        <f>'[4]Свод.'!M117</f>
        <v>0</v>
      </c>
      <c r="H263" s="84">
        <f>'[5]Свод.'!N117</f>
        <v>0</v>
      </c>
      <c r="I263" s="84">
        <f>'[6]Свод.'!AR116</f>
        <v>0</v>
      </c>
      <c r="J263" s="84">
        <f t="shared" si="7"/>
        <v>0</v>
      </c>
      <c r="K263" s="84">
        <f t="shared" si="8"/>
        <v>0</v>
      </c>
      <c r="L263" s="95"/>
      <c r="M263" s="95"/>
      <c r="N263" s="95"/>
      <c r="O263" s="95"/>
      <c r="P263" s="95"/>
      <c r="Q263" s="95"/>
      <c r="R263" s="95"/>
      <c r="S263" s="95"/>
      <c r="T263" s="95"/>
    </row>
    <row r="264" spans="1:11" ht="15">
      <c r="A264" s="53"/>
      <c r="B264" s="54"/>
      <c r="C264" s="37"/>
      <c r="D264" s="84">
        <f>'[1]Свод.'!BE120</f>
        <v>0</v>
      </c>
      <c r="E264" s="84">
        <f>'[2]Свод.'!AF117</f>
        <v>0</v>
      </c>
      <c r="F264" s="84">
        <f>'[3]Свод.'!O118</f>
        <v>0</v>
      </c>
      <c r="G264" s="84">
        <f>'[4]Свод.'!M118</f>
        <v>0</v>
      </c>
      <c r="H264" s="84">
        <f>'[5]Свод.'!N118</f>
        <v>0</v>
      </c>
      <c r="I264" s="84">
        <f>'[6]Свод.'!AR117</f>
        <v>0</v>
      </c>
      <c r="J264" s="84">
        <f t="shared" si="7"/>
        <v>0</v>
      </c>
      <c r="K264" s="84">
        <f t="shared" si="8"/>
        <v>0</v>
      </c>
    </row>
    <row r="265" spans="1:11" ht="15">
      <c r="A265" s="53" t="s">
        <v>7</v>
      </c>
      <c r="B265" s="54" t="s">
        <v>169</v>
      </c>
      <c r="C265" s="37"/>
      <c r="D265" s="84">
        <f>'[1]Свод.'!BE121</f>
        <v>315700</v>
      </c>
      <c r="E265" s="84">
        <f>'[2]Свод.'!AF118</f>
        <v>1246781</v>
      </c>
      <c r="F265" s="84">
        <f>'[3]Свод.'!O119</f>
        <v>485313</v>
      </c>
      <c r="G265" s="84">
        <f>'[4]Свод.'!M119</f>
        <v>80851</v>
      </c>
      <c r="H265" s="84">
        <f>'[5]Свод.'!N119</f>
        <v>290533</v>
      </c>
      <c r="I265" s="84">
        <f>'[6]Свод.'!AR118</f>
        <v>201972</v>
      </c>
      <c r="J265" s="84">
        <f t="shared" si="7"/>
        <v>638915</v>
      </c>
      <c r="K265" s="84">
        <f t="shared" si="8"/>
        <v>3260065</v>
      </c>
    </row>
    <row r="266" spans="1:11" ht="15">
      <c r="A266" s="53" t="s">
        <v>7</v>
      </c>
      <c r="B266" s="54" t="s">
        <v>170</v>
      </c>
      <c r="C266" s="37"/>
      <c r="D266" s="84">
        <f>'[1]Свод.'!BE122</f>
        <v>1600677.28</v>
      </c>
      <c r="E266" s="84">
        <f>'[2]Свод.'!AF119</f>
        <v>4966883.840000001</v>
      </c>
      <c r="F266" s="84">
        <f>'[3]Свод.'!O120</f>
        <v>1459002.46</v>
      </c>
      <c r="G266" s="84">
        <f>'[4]Свод.'!M120</f>
        <v>259874.28</v>
      </c>
      <c r="H266" s="84">
        <f>'[5]Свод.'!N120</f>
        <v>1072903.1199999999</v>
      </c>
      <c r="I266" s="84">
        <f>'[6]Свод.'!AR119</f>
        <v>630109.6700000002</v>
      </c>
      <c r="J266" s="84">
        <f t="shared" si="7"/>
        <v>2236844.1100000003</v>
      </c>
      <c r="K266" s="84">
        <f t="shared" si="8"/>
        <v>12226294.760000002</v>
      </c>
    </row>
    <row r="267" spans="1:11" ht="15">
      <c r="A267" s="53"/>
      <c r="B267" s="54"/>
      <c r="C267" s="37"/>
      <c r="D267" s="84">
        <f>'[1]Свод.'!BE123</f>
        <v>670248.01</v>
      </c>
      <c r="E267" s="84">
        <f>'[2]Свод.'!AF120</f>
        <v>2108293.37</v>
      </c>
      <c r="F267" s="84">
        <f>'[3]Свод.'!O121</f>
        <v>348797.36</v>
      </c>
      <c r="G267" s="84">
        <f>'[4]Свод.'!M121</f>
        <v>257692.11</v>
      </c>
      <c r="H267" s="84">
        <f>'[5]Свод.'!N121</f>
        <v>224032.97</v>
      </c>
      <c r="I267" s="84">
        <f>'[6]Свод.'!AR120</f>
        <v>310027.13999999996</v>
      </c>
      <c r="J267" s="84">
        <f t="shared" si="7"/>
        <v>592794.55</v>
      </c>
      <c r="K267" s="84">
        <f t="shared" si="8"/>
        <v>4511885.51</v>
      </c>
    </row>
    <row r="268" spans="1:11" ht="15">
      <c r="A268" s="53"/>
      <c r="B268" s="54"/>
      <c r="C268" s="37"/>
      <c r="D268" s="84">
        <f>'[1]Свод.'!BE124</f>
        <v>478113.66000000003</v>
      </c>
      <c r="E268" s="84">
        <f>'[2]Свод.'!AF121</f>
        <v>959100.1899999998</v>
      </c>
      <c r="F268" s="84">
        <f>'[3]Свод.'!O122</f>
        <v>938846.53</v>
      </c>
      <c r="G268" s="84">
        <f>'[4]Свод.'!M122</f>
        <v>2182.17</v>
      </c>
      <c r="H268" s="84">
        <f>'[5]Свод.'!N122</f>
        <v>358045.04000000004</v>
      </c>
      <c r="I268" s="84">
        <f>'[6]Свод.'!AR121</f>
        <v>259766.33000000002</v>
      </c>
      <c r="J268" s="84">
        <f t="shared" si="7"/>
        <v>881236.7799999999</v>
      </c>
      <c r="K268" s="84">
        <f t="shared" si="8"/>
        <v>3877290.6999999997</v>
      </c>
    </row>
    <row r="269" spans="1:11" ht="15">
      <c r="A269" s="53"/>
      <c r="B269" s="54"/>
      <c r="C269" s="37"/>
      <c r="D269" s="84">
        <f>'[1]Свод.'!BE125</f>
        <v>341520.28</v>
      </c>
      <c r="E269" s="84">
        <f>'[2]Свод.'!AF122</f>
        <v>1138749.82</v>
      </c>
      <c r="F269" s="84">
        <f>'[3]Свод.'!O123</f>
        <v>9604.83</v>
      </c>
      <c r="G269" s="84">
        <f>'[4]Свод.'!M123</f>
        <v>0</v>
      </c>
      <c r="H269" s="84">
        <f>'[5]Свод.'!N123</f>
        <v>243548.62000000002</v>
      </c>
      <c r="I269" s="84">
        <f>'[6]Свод.'!AR122</f>
        <v>60316.2</v>
      </c>
      <c r="J269" s="84">
        <f t="shared" si="7"/>
        <v>526596.93</v>
      </c>
      <c r="K269" s="84">
        <f t="shared" si="8"/>
        <v>2320336.68</v>
      </c>
    </row>
    <row r="270" spans="1:11" ht="15">
      <c r="A270" s="53"/>
      <c r="B270" s="54"/>
      <c r="C270" s="37"/>
      <c r="D270" s="84">
        <f>'[1]Свод.'!BE126</f>
        <v>107948.4</v>
      </c>
      <c r="E270" s="84">
        <f>'[2]Свод.'!AF123</f>
        <v>528063.64</v>
      </c>
      <c r="F270" s="84">
        <f>'[3]Свод.'!O124</f>
        <v>161753.74</v>
      </c>
      <c r="G270" s="84">
        <f>'[4]Свод.'!M124</f>
        <v>0</v>
      </c>
      <c r="H270" s="84">
        <f>'[5]Свод.'!N124</f>
        <v>42481.600000000006</v>
      </c>
      <c r="I270" s="84">
        <f>'[6]Свод.'!AR123</f>
        <v>0</v>
      </c>
      <c r="J270" s="84">
        <f t="shared" si="7"/>
        <v>197553.24</v>
      </c>
      <c r="K270" s="84">
        <f t="shared" si="8"/>
        <v>1037800.62</v>
      </c>
    </row>
    <row r="271" spans="1:11" ht="15">
      <c r="A271" s="53"/>
      <c r="B271" s="54"/>
      <c r="C271" s="37"/>
      <c r="D271" s="84">
        <f>'[1]Свод.'!BE127</f>
        <v>2846.93</v>
      </c>
      <c r="E271" s="84">
        <f>'[2]Свод.'!AF124</f>
        <v>232676.81999999998</v>
      </c>
      <c r="F271" s="84">
        <f>'[3]Свод.'!O125</f>
        <v>0</v>
      </c>
      <c r="G271" s="84">
        <f>'[4]Свод.'!M125</f>
        <v>0</v>
      </c>
      <c r="H271" s="84">
        <f>'[5]Свод.'!N125</f>
        <v>130791.75</v>
      </c>
      <c r="I271" s="84">
        <f>'[6]Свод.'!AR124</f>
        <v>0</v>
      </c>
      <c r="J271" s="84">
        <f t="shared" si="7"/>
        <v>25462.58</v>
      </c>
      <c r="K271" s="84">
        <f t="shared" si="8"/>
        <v>391778.08</v>
      </c>
    </row>
    <row r="272" spans="1:11" ht="15">
      <c r="A272" s="53"/>
      <c r="B272" s="54"/>
      <c r="C272" s="37"/>
      <c r="D272" s="84">
        <f>'[1]Свод.'!BE128</f>
        <v>0</v>
      </c>
      <c r="E272" s="84">
        <f>'[2]Свод.'!AF125</f>
        <v>0</v>
      </c>
      <c r="F272" s="84">
        <f>'[3]Свод.'!O126</f>
        <v>0</v>
      </c>
      <c r="G272" s="84">
        <f>'[4]Свод.'!M126</f>
        <v>0</v>
      </c>
      <c r="H272" s="84">
        <f>'[5]Свод.'!N126</f>
        <v>74003.14</v>
      </c>
      <c r="I272" s="84">
        <f>'[6]Свод.'!AR125</f>
        <v>0</v>
      </c>
      <c r="J272" s="84">
        <f t="shared" si="7"/>
        <v>13200.03</v>
      </c>
      <c r="K272" s="84">
        <f t="shared" si="8"/>
        <v>87203.17</v>
      </c>
    </row>
    <row r="273" spans="1:11" ht="15">
      <c r="A273" s="53"/>
      <c r="B273" s="54"/>
      <c r="C273" s="37"/>
      <c r="D273" s="84">
        <f>'[1]Свод.'!BE129</f>
        <v>0</v>
      </c>
      <c r="E273" s="84">
        <f>'[2]Свод.'!AF126</f>
        <v>0</v>
      </c>
      <c r="F273" s="84">
        <f>'[3]Свод.'!O127</f>
        <v>0</v>
      </c>
      <c r="G273" s="84">
        <f>'[4]Свод.'!M127</f>
        <v>0</v>
      </c>
      <c r="H273" s="84">
        <f>'[5]Свод.'!N127</f>
        <v>0</v>
      </c>
      <c r="I273" s="84">
        <f>'[6]Свод.'!AR126</f>
        <v>0</v>
      </c>
      <c r="J273" s="84">
        <f t="shared" si="7"/>
        <v>0</v>
      </c>
      <c r="K273" s="84">
        <f t="shared" si="8"/>
        <v>0</v>
      </c>
    </row>
    <row r="274" spans="1:11" ht="15">
      <c r="A274" s="53"/>
      <c r="B274" s="54"/>
      <c r="C274" s="37"/>
      <c r="D274" s="84">
        <f>'[1]Свод.'!BE130</f>
        <v>0</v>
      </c>
      <c r="E274" s="84">
        <f>'[2]Свод.'!AF127</f>
        <v>0</v>
      </c>
      <c r="F274" s="84">
        <f>'[3]Свод.'!O128</f>
        <v>0</v>
      </c>
      <c r="G274" s="84">
        <f>'[4]Свод.'!M128</f>
        <v>0</v>
      </c>
      <c r="H274" s="84">
        <f>'[5]Свод.'!N128</f>
        <v>0</v>
      </c>
      <c r="I274" s="84">
        <f>'[6]Свод.'!AR127</f>
        <v>0</v>
      </c>
      <c r="J274" s="84">
        <f t="shared" si="7"/>
        <v>0</v>
      </c>
      <c r="K274" s="84">
        <f t="shared" si="8"/>
        <v>0</v>
      </c>
    </row>
    <row r="275" spans="1:11" ht="15">
      <c r="A275" s="53"/>
      <c r="B275" s="54"/>
      <c r="C275" s="37"/>
      <c r="D275" s="84">
        <f>'[1]Свод.'!BE131</f>
        <v>0</v>
      </c>
      <c r="E275" s="84">
        <f>'[2]Свод.'!AF128</f>
        <v>0</v>
      </c>
      <c r="F275" s="84">
        <f>'[3]Свод.'!O129</f>
        <v>0</v>
      </c>
      <c r="G275" s="84">
        <f>'[4]Свод.'!M129</f>
        <v>0</v>
      </c>
      <c r="H275" s="84">
        <f>'[5]Свод.'!N129</f>
        <v>0</v>
      </c>
      <c r="I275" s="84">
        <f>'[6]Свод.'!AR128</f>
        <v>0</v>
      </c>
      <c r="J275" s="84">
        <f t="shared" si="7"/>
        <v>0</v>
      </c>
      <c r="K275" s="84">
        <f t="shared" si="8"/>
        <v>0</v>
      </c>
    </row>
    <row r="276" spans="1:11" ht="15">
      <c r="A276" s="53"/>
      <c r="B276" s="54"/>
      <c r="C276" s="37"/>
      <c r="D276" s="84">
        <f>'[1]Свод.'!BE132</f>
        <v>0</v>
      </c>
      <c r="E276" s="84">
        <f>'[2]Свод.'!AF129</f>
        <v>0</v>
      </c>
      <c r="F276" s="84">
        <f>'[3]Свод.'!O130</f>
        <v>0</v>
      </c>
      <c r="G276" s="84">
        <f>'[4]Свод.'!M130</f>
        <v>0</v>
      </c>
      <c r="H276" s="84">
        <f>'[5]Свод.'!N130</f>
        <v>0</v>
      </c>
      <c r="I276" s="84">
        <f>'[6]Свод.'!AR129</f>
        <v>0</v>
      </c>
      <c r="J276" s="84">
        <f t="shared" si="7"/>
        <v>0</v>
      </c>
      <c r="K276" s="84">
        <f t="shared" si="8"/>
        <v>0</v>
      </c>
    </row>
    <row r="277" spans="1:11" ht="15">
      <c r="A277" s="53" t="s">
        <v>7</v>
      </c>
      <c r="B277" s="55" t="s">
        <v>171</v>
      </c>
      <c r="C277" s="37"/>
      <c r="D277" s="84">
        <f>'[1]Свод.'!BE133</f>
        <v>315949</v>
      </c>
      <c r="E277" s="84">
        <f>'[2]Свод.'!AF130</f>
        <v>1215906</v>
      </c>
      <c r="F277" s="84">
        <f>'[3]Свод.'!O131</f>
        <v>299850</v>
      </c>
      <c r="G277" s="84">
        <f>'[4]Свод.'!M131</f>
        <v>64845</v>
      </c>
      <c r="H277" s="84">
        <f>'[5]Свод.'!N131</f>
        <v>216376</v>
      </c>
      <c r="I277" s="84">
        <f>'[6]Свод.'!AR130</f>
        <v>179865</v>
      </c>
      <c r="J277" s="84">
        <f t="shared" si="7"/>
        <v>371798</v>
      </c>
      <c r="K277" s="84">
        <f t="shared" si="8"/>
        <v>2664589</v>
      </c>
    </row>
    <row r="278" spans="1:11" ht="15">
      <c r="A278" s="53"/>
      <c r="B278" s="56" t="s">
        <v>172</v>
      </c>
      <c r="C278" s="37"/>
      <c r="D278" s="84">
        <f>'[1]Свод.'!BE134</f>
        <v>22763</v>
      </c>
      <c r="E278" s="84">
        <f>'[2]Свод.'!AF131</f>
        <v>89891</v>
      </c>
      <c r="F278" s="84">
        <f>'[3]Свод.'!O132</f>
        <v>34991</v>
      </c>
      <c r="G278" s="84">
        <f>'[4]Свод.'!M132</f>
        <v>5790</v>
      </c>
      <c r="H278" s="84">
        <f>'[5]Свод.'!N132</f>
        <v>20947</v>
      </c>
      <c r="I278" s="84">
        <f>'[6]Свод.'!AR131</f>
        <v>14560</v>
      </c>
      <c r="J278" s="84">
        <f t="shared" si="7"/>
        <v>46065</v>
      </c>
      <c r="K278" s="84">
        <f t="shared" si="8"/>
        <v>235007</v>
      </c>
    </row>
    <row r="279" spans="1:11" ht="15">
      <c r="A279" s="53"/>
      <c r="B279" s="56" t="s">
        <v>173</v>
      </c>
      <c r="C279" s="37"/>
      <c r="D279" s="84">
        <f>'[1]Свод.'!BE135</f>
        <v>68617</v>
      </c>
      <c r="E279" s="84">
        <f>'[2]Свод.'!AF132</f>
        <v>270990</v>
      </c>
      <c r="F279" s="84">
        <f>'[3]Свод.'!O133</f>
        <v>105483</v>
      </c>
      <c r="G279" s="84">
        <f>'[4]Свод.'!M133</f>
        <v>17568</v>
      </c>
      <c r="H279" s="84">
        <f>'[5]Свод.'!N133</f>
        <v>63148</v>
      </c>
      <c r="I279" s="84">
        <f>'[6]Свод.'!AR132</f>
        <v>43897</v>
      </c>
      <c r="J279" s="84">
        <f t="shared" si="7"/>
        <v>138874</v>
      </c>
      <c r="K279" s="84">
        <f t="shared" si="8"/>
        <v>708577</v>
      </c>
    </row>
    <row r="280" spans="1:11" ht="15">
      <c r="A280" s="53"/>
      <c r="B280" s="56" t="s">
        <v>174</v>
      </c>
      <c r="C280" s="37"/>
      <c r="D280" s="84">
        <f>'[1]Свод.'!BE136</f>
        <v>38113</v>
      </c>
      <c r="E280" s="84">
        <f>'[2]Свод.'!AF133</f>
        <v>155408</v>
      </c>
      <c r="F280" s="84">
        <f>'[3]Свод.'!O134</f>
        <v>59288</v>
      </c>
      <c r="G280" s="84">
        <f>'[4]Свод.'!M134</f>
        <v>21846</v>
      </c>
      <c r="H280" s="84">
        <f>'[5]Свод.'!N134</f>
        <v>55928</v>
      </c>
      <c r="I280" s="84">
        <f>'[6]Свод.'!AR133</f>
        <v>27844</v>
      </c>
      <c r="J280" s="84">
        <f t="shared" si="7"/>
        <v>80010</v>
      </c>
      <c r="K280" s="84">
        <f t="shared" si="8"/>
        <v>438437</v>
      </c>
    </row>
    <row r="281" spans="1:11" ht="15">
      <c r="A281" s="53"/>
      <c r="B281" s="56" t="s">
        <v>175</v>
      </c>
      <c r="C281" s="37"/>
      <c r="D281" s="84">
        <f>'[1]Свод.'!BE137</f>
        <v>148349</v>
      </c>
      <c r="E281" s="84">
        <f>'[2]Свод.'!AF134</f>
        <v>48175</v>
      </c>
      <c r="F281" s="84">
        <f>'[3]Свод.'!O135</f>
        <v>31238</v>
      </c>
      <c r="G281" s="84">
        <f>'[4]Свод.'!M135</f>
        <v>9900</v>
      </c>
      <c r="H281" s="84">
        <f>'[5]Свод.'!N135</f>
        <v>24033</v>
      </c>
      <c r="I281" s="84">
        <f>'[6]Свод.'!AR134</f>
        <v>9059</v>
      </c>
      <c r="J281" s="84">
        <f t="shared" si="7"/>
        <v>29731</v>
      </c>
      <c r="K281" s="84">
        <f t="shared" si="8"/>
        <v>300485</v>
      </c>
    </row>
    <row r="282" spans="1:11" ht="15">
      <c r="A282" s="53"/>
      <c r="B282" s="56" t="s">
        <v>176</v>
      </c>
      <c r="C282" s="37"/>
      <c r="D282" s="84">
        <f>'[1]Свод.'!BE138</f>
        <v>38107</v>
      </c>
      <c r="E282" s="84">
        <f>'[2]Свод.'!AF135</f>
        <v>651442</v>
      </c>
      <c r="F282" s="84">
        <f>'[3]Свод.'!O136</f>
        <v>68850</v>
      </c>
      <c r="G282" s="84">
        <f>'[4]Свод.'!M136</f>
        <v>9741</v>
      </c>
      <c r="H282" s="84">
        <f>'[5]Свод.'!N136</f>
        <v>52320</v>
      </c>
      <c r="I282" s="84">
        <f>'[6]Свод.'!AR135</f>
        <v>84505</v>
      </c>
      <c r="J282" s="84">
        <f t="shared" si="7"/>
        <v>77118</v>
      </c>
      <c r="K282" s="84">
        <f t="shared" si="8"/>
        <v>982083</v>
      </c>
    </row>
    <row r="283" spans="1:11" ht="15">
      <c r="A283" s="27">
        <v>7</v>
      </c>
      <c r="B283" s="32" t="s">
        <v>177</v>
      </c>
      <c r="C283" s="57"/>
      <c r="D283" s="84">
        <f>'[1]Свод.'!BE139</f>
        <v>186147.77</v>
      </c>
      <c r="E283" s="84">
        <f>'[2]Свод.'!AF136</f>
        <v>279734.95</v>
      </c>
      <c r="F283" s="84">
        <f>'[3]Свод.'!O137</f>
        <v>46002.37</v>
      </c>
      <c r="G283" s="84">
        <f>'[4]Свод.'!M137</f>
        <v>9413.869999999999</v>
      </c>
      <c r="H283" s="84">
        <f>'[5]Свод.'!N137</f>
        <v>125438.76999999999</v>
      </c>
      <c r="I283" s="84">
        <f>'[6]Свод.'!AR136</f>
        <v>116493.65999999999</v>
      </c>
      <c r="J283" s="84">
        <f t="shared" si="7"/>
        <v>209224.74</v>
      </c>
      <c r="K283" s="84">
        <f t="shared" si="8"/>
        <v>972456.13</v>
      </c>
    </row>
    <row r="284" spans="1:11" ht="15">
      <c r="A284" s="27">
        <f>SUM(A283)+1</f>
        <v>8</v>
      </c>
      <c r="B284" s="32" t="s">
        <v>178</v>
      </c>
      <c r="C284" s="57"/>
      <c r="D284" s="84">
        <f>'[1]Свод.'!BE140</f>
        <v>290099.81999999995</v>
      </c>
      <c r="E284" s="84">
        <f>'[2]Свод.'!AF137</f>
        <v>639574.8099999999</v>
      </c>
      <c r="F284" s="84">
        <f>'[3]Свод.'!O138</f>
        <v>172223.36</v>
      </c>
      <c r="G284" s="84">
        <f>'[4]Свод.'!M138</f>
        <v>64211.78</v>
      </c>
      <c r="H284" s="84">
        <f>'[5]Свод.'!N138</f>
        <v>229016.55</v>
      </c>
      <c r="I284" s="84">
        <f>'[6]Свод.'!AR137</f>
        <v>202653.06999999995</v>
      </c>
      <c r="J284" s="84">
        <f t="shared" si="7"/>
        <v>577191.37</v>
      </c>
      <c r="K284" s="84">
        <f t="shared" si="8"/>
        <v>2174970.76</v>
      </c>
    </row>
    <row r="285" spans="1:11" ht="15">
      <c r="A285" s="27">
        <f>SUM(A284)+1</f>
        <v>9</v>
      </c>
      <c r="B285" s="32" t="s">
        <v>179</v>
      </c>
      <c r="C285" s="37"/>
      <c r="D285" s="84">
        <f>'[1]Свод.'!BE141</f>
        <v>1996004</v>
      </c>
      <c r="E285" s="84">
        <f>'[2]Свод.'!AF138</f>
        <v>7882764</v>
      </c>
      <c r="F285" s="84">
        <f>'[3]Свод.'!O139</f>
        <v>3068389</v>
      </c>
      <c r="G285" s="84">
        <f>'[4]Свод.'!M139</f>
        <v>505828</v>
      </c>
      <c r="H285" s="84">
        <f>'[5]Свод.'!N139</f>
        <v>1836902</v>
      </c>
      <c r="I285" s="84">
        <f>'[6]Свод.'!AR138</f>
        <v>1276944</v>
      </c>
      <c r="J285" s="84">
        <f t="shared" si="7"/>
        <v>4039531</v>
      </c>
      <c r="K285" s="84">
        <f t="shared" si="8"/>
        <v>20606362</v>
      </c>
    </row>
    <row r="286" spans="1:11" ht="15">
      <c r="A286" s="35">
        <f>SUM(A285)+1</f>
        <v>10</v>
      </c>
      <c r="B286" s="36" t="s">
        <v>180</v>
      </c>
      <c r="C286" s="37"/>
      <c r="D286" s="84">
        <f>'[1]Свод.'!BE142</f>
        <v>6073.57</v>
      </c>
      <c r="E286" s="84">
        <f>'[2]Свод.'!AF139</f>
        <v>48454.729999999996</v>
      </c>
      <c r="F286" s="84">
        <f>'[3]Свод.'!O140</f>
        <v>16610.35</v>
      </c>
      <c r="G286" s="84">
        <f>'[4]Свод.'!M140</f>
        <v>3051.2</v>
      </c>
      <c r="H286" s="84">
        <f>'[5]Свод.'!N140</f>
        <v>22511.949999999997</v>
      </c>
      <c r="I286" s="84">
        <f>'[6]Свод.'!AR139</f>
        <v>4882.469999999999</v>
      </c>
      <c r="J286" s="84">
        <f t="shared" si="7"/>
        <v>37174.36000000001</v>
      </c>
      <c r="K286" s="84">
        <f t="shared" si="8"/>
        <v>138758.63</v>
      </c>
    </row>
    <row r="287" spans="1:11" ht="15">
      <c r="A287" s="27">
        <v>11</v>
      </c>
      <c r="B287" s="32" t="s">
        <v>181</v>
      </c>
      <c r="C287" s="33"/>
      <c r="D287" s="84">
        <f>'[1]Свод.'!BE143</f>
        <v>3247583.6747</v>
      </c>
      <c r="E287" s="84">
        <f>'[2]Свод.'!AF140</f>
        <v>12136734.110299999</v>
      </c>
      <c r="F287" s="84">
        <f>'[3]Свод.'!O141</f>
        <v>4814656.6502</v>
      </c>
      <c r="G287" s="84">
        <f>'[4]Свод.'!M141</f>
        <v>1244755.5903</v>
      </c>
      <c r="H287" s="84">
        <f>'[5]Свод.'!N141</f>
        <v>4477167.570400001</v>
      </c>
      <c r="I287" s="84">
        <f>'[6]Свод.'!AR140</f>
        <v>2548586.451</v>
      </c>
      <c r="J287" s="84">
        <f t="shared" si="7"/>
        <v>7034197.949999999</v>
      </c>
      <c r="K287" s="84">
        <f t="shared" si="8"/>
        <v>35503681.9969</v>
      </c>
    </row>
    <row r="288" spans="1:11" ht="30">
      <c r="A288" s="28" t="s">
        <v>182</v>
      </c>
      <c r="B288" s="59" t="s">
        <v>183</v>
      </c>
      <c r="C288" s="60"/>
      <c r="D288" s="84">
        <f>'[1]Свод.'!BE144</f>
        <v>1096819.6747</v>
      </c>
      <c r="E288" s="84">
        <f>'[2]Свод.'!AF141</f>
        <v>3857122.1103000008</v>
      </c>
      <c r="F288" s="84">
        <f>'[3]Свод.'!O142</f>
        <v>1351319.6501999998</v>
      </c>
      <c r="G288" s="84">
        <f>'[4]Свод.'!M142</f>
        <v>214873.5903</v>
      </c>
      <c r="H288" s="84">
        <f>'[5]Свод.'!N142</f>
        <v>961632.5704000001</v>
      </c>
      <c r="I288" s="84">
        <f>'[6]Свод.'!AR141</f>
        <v>735514.4510000001</v>
      </c>
      <c r="J288" s="84">
        <f t="shared" si="7"/>
        <v>1925318.9500000002</v>
      </c>
      <c r="K288" s="84">
        <f t="shared" si="8"/>
        <v>10142600.996900002</v>
      </c>
    </row>
    <row r="289" spans="1:11" ht="45">
      <c r="A289" s="61">
        <v>12</v>
      </c>
      <c r="B289" s="62" t="s">
        <v>184</v>
      </c>
      <c r="C289" s="33"/>
      <c r="D289" s="84">
        <f>'[1]Свод.'!BE145</f>
        <v>88824</v>
      </c>
      <c r="E289" s="84">
        <f>'[2]Свод.'!AF142</f>
        <v>350739</v>
      </c>
      <c r="F289" s="84">
        <f>'[3]Свод.'!O143</f>
        <v>136524</v>
      </c>
      <c r="G289" s="84">
        <f>'[4]Свод.'!M143</f>
        <v>22744</v>
      </c>
      <c r="H289" s="84">
        <f>'[5]Свод.'!N143</f>
        <v>81730</v>
      </c>
      <c r="I289" s="84">
        <f>'[6]Свод.'!AR142</f>
        <v>56818</v>
      </c>
      <c r="J289" s="84">
        <f t="shared" si="7"/>
        <v>179734</v>
      </c>
      <c r="K289" s="84">
        <f t="shared" si="8"/>
        <v>917113</v>
      </c>
    </row>
  </sheetData>
  <sheetProtection/>
  <mergeCells count="13">
    <mergeCell ref="A1:D1"/>
    <mergeCell ref="A20:C20"/>
    <mergeCell ref="A29:C29"/>
    <mergeCell ref="A34:C34"/>
    <mergeCell ref="A188:C188"/>
    <mergeCell ref="A229:C229"/>
    <mergeCell ref="A234:C234"/>
    <mergeCell ref="A41:C41"/>
    <mergeCell ref="A82:C82"/>
    <mergeCell ref="A87:C87"/>
    <mergeCell ref="A167:C167"/>
    <mergeCell ref="A176:C176"/>
    <mergeCell ref="A181:C181"/>
  </mergeCells>
  <dataValidations count="1">
    <dataValidation type="list" allowBlank="1" showInputMessage="1" showErrorMessage="1" sqref="D72 D62 D52 D42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30" workbookViewId="0" topLeftCell="A40">
      <selection activeCell="B55" sqref="B55"/>
    </sheetView>
  </sheetViews>
  <sheetFormatPr defaultColWidth="9.140625" defaultRowHeight="15"/>
  <cols>
    <col min="1" max="1" width="5.8515625" style="2" customWidth="1"/>
    <col min="2" max="2" width="59.421875" style="3" customWidth="1"/>
    <col min="3" max="3" width="8.140625" style="1" customWidth="1"/>
    <col min="4" max="4" width="25.57421875" style="66" customWidth="1"/>
    <col min="5" max="16384" width="9.140625" style="1" customWidth="1"/>
  </cols>
  <sheetData>
    <row r="1" spans="1:4" ht="16.5" customHeight="1">
      <c r="A1" s="102" t="s">
        <v>0</v>
      </c>
      <c r="B1" s="102"/>
      <c r="C1" s="102"/>
      <c r="D1" s="102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7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87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87">
        <v>42369</v>
      </c>
    </row>
    <row r="7" spans="1:4" s="9" customFormat="1" ht="29.25" customHeight="1">
      <c r="A7" s="103" t="s">
        <v>13</v>
      </c>
      <c r="B7" s="103"/>
      <c r="C7" s="103"/>
      <c r="D7" s="103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8">
        <f>54142.76+333023.03</f>
        <v>387165.79000000004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8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8">
        <f>D8</f>
        <v>387165.79000000004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f>2256213.3+604141.7</f>
        <v>2860355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f>D16</f>
        <v>2826426.55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621678.52+2204748.03</f>
        <v>2826426.55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2826426.55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421094.2400000002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36605.94+384488.3</f>
        <v>421094.24</v>
      </c>
    </row>
    <row r="25" spans="1:4" s="9" customFormat="1" ht="29.25" customHeight="1">
      <c r="A25" s="101" t="s">
        <v>49</v>
      </c>
      <c r="B25" s="101"/>
      <c r="C25" s="101"/>
      <c r="D25" s="101"/>
    </row>
    <row r="26" spans="1:4" s="9" customFormat="1" ht="16.5" customHeight="1">
      <c r="A26" s="6"/>
      <c r="B26" s="7" t="s">
        <v>50</v>
      </c>
      <c r="C26" s="18"/>
      <c r="D26" s="69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15">
      <c r="A31" s="19" t="s">
        <v>59</v>
      </c>
      <c r="B31" s="16" t="s">
        <v>52</v>
      </c>
      <c r="C31" s="8" t="s">
        <v>7</v>
      </c>
      <c r="D31" s="70" t="s">
        <v>213</v>
      </c>
    </row>
    <row r="32" spans="1:4" s="9" customFormat="1" ht="51">
      <c r="A32" s="19" t="s">
        <v>60</v>
      </c>
      <c r="B32" s="16" t="s">
        <v>55</v>
      </c>
      <c r="C32" s="8" t="s">
        <v>7</v>
      </c>
      <c r="D32" s="70" t="s">
        <v>258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70" t="s">
        <v>231</v>
      </c>
    </row>
    <row r="34" spans="1:4" s="9" customFormat="1" ht="16.5" customHeight="1">
      <c r="A34" s="101" t="s">
        <v>62</v>
      </c>
      <c r="B34" s="101"/>
      <c r="C34" s="101"/>
      <c r="D34" s="101"/>
    </row>
    <row r="35" spans="1:4" s="9" customFormat="1" ht="15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5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5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5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5">
      <c r="A39" s="101" t="s">
        <v>72</v>
      </c>
      <c r="B39" s="101"/>
      <c r="C39" s="101"/>
      <c r="D39" s="101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288677.8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288677.8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D52+D72+D82</f>
        <v>388439.26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D43</f>
        <v>388439.26</v>
      </c>
    </row>
    <row r="46" spans="1:4" s="9" customFormat="1" ht="15" customHeight="1">
      <c r="A46" s="101" t="s">
        <v>81</v>
      </c>
      <c r="B46" s="101"/>
      <c r="C46" s="101"/>
      <c r="D46" s="101"/>
    </row>
    <row r="47" spans="1:4" s="9" customFormat="1" ht="28.5">
      <c r="A47" s="6" t="s">
        <v>82</v>
      </c>
      <c r="B47" s="16" t="s">
        <v>83</v>
      </c>
      <c r="C47" s="8" t="s">
        <v>7</v>
      </c>
      <c r="D47" s="71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18841.58186864015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509193.75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492419.14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65314.97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509193.75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618647.28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-27467.43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15" customHeight="1">
      <c r="A57" s="6" t="s">
        <v>82</v>
      </c>
      <c r="B57" s="16" t="s">
        <v>83</v>
      </c>
      <c r="C57" s="8" t="s">
        <v>7</v>
      </c>
      <c r="D57" s="71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71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</f>
        <v>18841.58186864015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276758.18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267640.81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35500.14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276758.18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367559.1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-16319.32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71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D80/1673.36</f>
        <v>1340.0047090883013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v>2242310.28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2168440.8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v>287624.15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f>D80</f>
        <v>2242310.28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f>2285518.67</f>
        <v>2285518.67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106517.49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101" t="s">
        <v>138</v>
      </c>
      <c r="B87" s="101"/>
      <c r="C87" s="101"/>
      <c r="D87" s="101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01" t="s">
        <v>143</v>
      </c>
      <c r="B92" s="101"/>
      <c r="C92" s="101"/>
      <c r="D92" s="101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88">
        <v>13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88">
        <v>2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52125</v>
      </c>
    </row>
    <row r="99" spans="1:2" ht="15" customHeight="1" hidden="1">
      <c r="A99" s="25" t="s">
        <v>150</v>
      </c>
      <c r="B99" s="26" t="s">
        <v>151</v>
      </c>
    </row>
    <row r="100" ht="15" customHeight="1" hidden="1"/>
    <row r="101" spans="1:4" ht="25.5" customHeight="1" hidden="1">
      <c r="A101" s="27" t="s">
        <v>1</v>
      </c>
      <c r="B101" s="28" t="s">
        <v>152</v>
      </c>
      <c r="C101" s="27"/>
      <c r="D101" s="72" t="s">
        <v>153</v>
      </c>
    </row>
    <row r="102" spans="1:4" ht="15.75" customHeight="1" hidden="1">
      <c r="A102" s="27"/>
      <c r="B102" s="29" t="s">
        <v>154</v>
      </c>
      <c r="C102" s="30"/>
      <c r="D102" s="31">
        <f>D103+D104+D105+D106+D107+D113+D142+D143+D144+D145+D146+D148</f>
        <v>2254284.1678</v>
      </c>
    </row>
    <row r="103" spans="1:4" ht="15" customHeight="1" hidden="1">
      <c r="A103" s="27">
        <v>1</v>
      </c>
      <c r="B103" s="32" t="s">
        <v>155</v>
      </c>
      <c r="C103" s="33"/>
      <c r="D103" s="34">
        <v>294264</v>
      </c>
    </row>
    <row r="104" spans="1:4" ht="15" customHeight="1" hidden="1">
      <c r="A104" s="27">
        <f>SUM(A103)+1</f>
        <v>2</v>
      </c>
      <c r="B104" s="32" t="s">
        <v>156</v>
      </c>
      <c r="C104" s="33"/>
      <c r="D104" s="34">
        <v>156873</v>
      </c>
    </row>
    <row r="105" spans="1:4" ht="15" customHeight="1" hidden="1">
      <c r="A105" s="35">
        <f>SUM(A104)+1</f>
        <v>3</v>
      </c>
      <c r="B105" s="36" t="s">
        <v>157</v>
      </c>
      <c r="C105" s="37"/>
      <c r="D105" s="38">
        <v>21734.56</v>
      </c>
    </row>
    <row r="106" spans="1:4" ht="15" customHeight="1" hidden="1">
      <c r="A106" s="27">
        <f>SUM(A105)+1</f>
        <v>4</v>
      </c>
      <c r="B106" s="32" t="s">
        <v>158</v>
      </c>
      <c r="C106" s="37"/>
      <c r="D106" s="34">
        <v>0</v>
      </c>
    </row>
    <row r="107" spans="1:4" ht="15" customHeight="1" hidden="1">
      <c r="A107" s="27">
        <f>SUM(A106)+1</f>
        <v>5</v>
      </c>
      <c r="B107" s="32" t="s">
        <v>159</v>
      </c>
      <c r="C107" s="37"/>
      <c r="D107" s="34"/>
    </row>
    <row r="108" spans="1:4" ht="15" customHeight="1" hidden="1">
      <c r="A108" s="27" t="s">
        <v>7</v>
      </c>
      <c r="B108" s="40" t="s">
        <v>160</v>
      </c>
      <c r="C108" s="37"/>
      <c r="D108" s="34"/>
    </row>
    <row r="109" spans="1:4" ht="15" customHeight="1" hidden="1">
      <c r="A109" s="27"/>
      <c r="B109" s="41" t="s">
        <v>161</v>
      </c>
      <c r="C109" s="37"/>
      <c r="D109" s="34"/>
    </row>
    <row r="110" spans="1:4" ht="15" customHeight="1" hidden="1">
      <c r="A110" s="27"/>
      <c r="B110" s="41" t="s">
        <v>162</v>
      </c>
      <c r="C110" s="37"/>
      <c r="D110" s="34"/>
    </row>
    <row r="111" spans="1:4" ht="15" customHeight="1" hidden="1">
      <c r="A111" s="27" t="s">
        <v>7</v>
      </c>
      <c r="B111" s="42" t="s">
        <v>163</v>
      </c>
      <c r="C111" s="37"/>
      <c r="D111" s="34"/>
    </row>
    <row r="112" spans="1:4" ht="15" customHeight="1" hidden="1">
      <c r="A112" s="43" t="s">
        <v>7</v>
      </c>
      <c r="B112" s="44" t="s">
        <v>185</v>
      </c>
      <c r="C112" s="45"/>
      <c r="D112" s="73"/>
    </row>
    <row r="113" spans="1:4" ht="60" customHeight="1" hidden="1">
      <c r="A113" s="27">
        <f>SUM(A107)+1</f>
        <v>6</v>
      </c>
      <c r="B113" s="47" t="s">
        <v>164</v>
      </c>
      <c r="C113" s="48"/>
      <c r="D113" s="34">
        <f>D114+D115+D116+D117+D124+D125+D136</f>
        <v>613338.78</v>
      </c>
    </row>
    <row r="114" spans="1:4" ht="45" customHeight="1" hidden="1">
      <c r="A114" s="49" t="s">
        <v>7</v>
      </c>
      <c r="B114" s="50" t="s">
        <v>165</v>
      </c>
      <c r="C114" s="51"/>
      <c r="D114" s="52">
        <v>344793</v>
      </c>
    </row>
    <row r="115" spans="1:4" ht="15" customHeight="1" hidden="1">
      <c r="A115" s="53" t="s">
        <v>7</v>
      </c>
      <c r="B115" s="54" t="s">
        <v>166</v>
      </c>
      <c r="C115" s="37"/>
      <c r="D115" s="34">
        <v>106541</v>
      </c>
    </row>
    <row r="116" spans="1:4" ht="15" customHeight="1" hidden="1">
      <c r="A116" s="53" t="s">
        <v>7</v>
      </c>
      <c r="B116" s="54" t="s">
        <v>167</v>
      </c>
      <c r="C116" s="37"/>
      <c r="D116" s="34">
        <v>52257.35</v>
      </c>
    </row>
    <row r="117" spans="1:4" ht="15" customHeight="1" hidden="1">
      <c r="A117" s="53" t="s">
        <v>7</v>
      </c>
      <c r="B117" s="54" t="s">
        <v>168</v>
      </c>
      <c r="C117" s="37"/>
      <c r="D117" s="34">
        <f>SUM(D118:D123)</f>
        <v>3412</v>
      </c>
    </row>
    <row r="118" spans="1:4" ht="15" customHeight="1" hidden="1">
      <c r="A118" s="53"/>
      <c r="B118" s="54" t="s">
        <v>207</v>
      </c>
      <c r="C118" s="37"/>
      <c r="D118" s="34">
        <v>3412</v>
      </c>
    </row>
    <row r="119" spans="1:4" ht="15" customHeight="1" hidden="1">
      <c r="A119" s="53"/>
      <c r="B119" s="54"/>
      <c r="C119" s="37"/>
      <c r="D119" s="34"/>
    </row>
    <row r="120" spans="1:4" ht="15" customHeight="1" hidden="1">
      <c r="A120" s="53"/>
      <c r="B120" s="54"/>
      <c r="C120" s="37"/>
      <c r="D120" s="34"/>
    </row>
    <row r="121" spans="1:4" ht="15" customHeight="1" hidden="1">
      <c r="A121" s="53"/>
      <c r="B121" s="54"/>
      <c r="C121" s="37"/>
      <c r="D121" s="34"/>
    </row>
    <row r="122" spans="1:4" ht="15" customHeight="1" hidden="1">
      <c r="A122" s="53"/>
      <c r="B122" s="54"/>
      <c r="C122" s="37"/>
      <c r="D122" s="34"/>
    </row>
    <row r="123" spans="1:4" ht="15" customHeight="1" hidden="1">
      <c r="A123" s="53"/>
      <c r="B123" s="54"/>
      <c r="C123" s="37"/>
      <c r="D123" s="34"/>
    </row>
    <row r="124" spans="1:4" ht="15" customHeight="1" hidden="1">
      <c r="A124" s="53" t="s">
        <v>7</v>
      </c>
      <c r="B124" s="54" t="s">
        <v>169</v>
      </c>
      <c r="C124" s="37"/>
      <c r="D124" s="34">
        <v>64832</v>
      </c>
    </row>
    <row r="125" spans="1:4" ht="15" customHeight="1" hidden="1">
      <c r="A125" s="53" t="s">
        <v>7</v>
      </c>
      <c r="B125" s="54" t="s">
        <v>170</v>
      </c>
      <c r="C125" s="37"/>
      <c r="D125" s="34">
        <f>SUM(D126:D135)</f>
        <v>3775.43</v>
      </c>
    </row>
    <row r="126" spans="1:4" ht="15" customHeight="1" hidden="1">
      <c r="A126" s="53"/>
      <c r="B126" s="54" t="s">
        <v>213</v>
      </c>
      <c r="C126" s="37"/>
      <c r="D126" s="34">
        <v>3775.43</v>
      </c>
    </row>
    <row r="127" spans="1:4" ht="15" customHeight="1" hidden="1">
      <c r="A127" s="53"/>
      <c r="B127" s="54"/>
      <c r="C127" s="37"/>
      <c r="D127" s="34"/>
    </row>
    <row r="128" spans="1:4" ht="15" customHeight="1" hidden="1">
      <c r="A128" s="53"/>
      <c r="B128" s="54"/>
      <c r="C128" s="37"/>
      <c r="D128" s="34"/>
    </row>
    <row r="129" spans="1:4" ht="15" customHeight="1" hidden="1">
      <c r="A129" s="53"/>
      <c r="B129" s="54"/>
      <c r="C129" s="37"/>
      <c r="D129" s="34"/>
    </row>
    <row r="130" spans="1:4" ht="15" customHeight="1" hidden="1">
      <c r="A130" s="53"/>
      <c r="B130" s="54"/>
      <c r="C130" s="37"/>
      <c r="D130" s="34"/>
    </row>
    <row r="131" spans="1:4" ht="15" customHeight="1" hidden="1">
      <c r="A131" s="53"/>
      <c r="B131" s="54"/>
      <c r="C131" s="37"/>
      <c r="D131" s="34"/>
    </row>
    <row r="132" spans="1:4" ht="15" customHeight="1" hidden="1">
      <c r="A132" s="53"/>
      <c r="B132" s="54"/>
      <c r="C132" s="37"/>
      <c r="D132" s="34"/>
    </row>
    <row r="133" spans="1:4" ht="15" customHeight="1" hidden="1">
      <c r="A133" s="53"/>
      <c r="B133" s="54"/>
      <c r="C133" s="37"/>
      <c r="D133" s="34"/>
    </row>
    <row r="134" spans="1:4" ht="15" customHeight="1" hidden="1">
      <c r="A134" s="53"/>
      <c r="B134" s="54"/>
      <c r="C134" s="37"/>
      <c r="D134" s="34"/>
    </row>
    <row r="135" spans="1:4" ht="15" customHeight="1" hidden="1">
      <c r="A135" s="53"/>
      <c r="B135" s="54"/>
      <c r="C135" s="37"/>
      <c r="D135" s="34"/>
    </row>
    <row r="136" spans="1:4" ht="15" customHeight="1" hidden="1">
      <c r="A136" s="53" t="s">
        <v>7</v>
      </c>
      <c r="B136" s="55" t="s">
        <v>171</v>
      </c>
      <c r="C136" s="37"/>
      <c r="D136" s="34">
        <f>SUM(D137:D141)</f>
        <v>37728</v>
      </c>
    </row>
    <row r="137" spans="1:4" ht="15" customHeight="1" hidden="1">
      <c r="A137" s="53"/>
      <c r="B137" s="56" t="s">
        <v>172</v>
      </c>
      <c r="C137" s="37"/>
      <c r="D137" s="34">
        <v>4674</v>
      </c>
    </row>
    <row r="138" spans="1:4" ht="15" customHeight="1" hidden="1">
      <c r="A138" s="53"/>
      <c r="B138" s="56" t="s">
        <v>173</v>
      </c>
      <c r="C138" s="37"/>
      <c r="D138" s="34">
        <v>14094</v>
      </c>
    </row>
    <row r="139" spans="1:4" ht="15" customHeight="1" hidden="1">
      <c r="A139" s="53"/>
      <c r="B139" s="56" t="s">
        <v>174</v>
      </c>
      <c r="C139" s="37"/>
      <c r="D139" s="34">
        <v>8118</v>
      </c>
    </row>
    <row r="140" spans="1:4" ht="15" customHeight="1" hidden="1">
      <c r="A140" s="53"/>
      <c r="B140" s="56" t="s">
        <v>175</v>
      </c>
      <c r="C140" s="37"/>
      <c r="D140" s="34">
        <v>3017</v>
      </c>
    </row>
    <row r="141" spans="1:4" ht="15" customHeight="1" hidden="1">
      <c r="A141" s="53"/>
      <c r="B141" s="56" t="s">
        <v>176</v>
      </c>
      <c r="C141" s="37"/>
      <c r="D141" s="34">
        <v>7825</v>
      </c>
    </row>
    <row r="142" spans="1:4" ht="15" customHeight="1" hidden="1">
      <c r="A142" s="27">
        <v>7</v>
      </c>
      <c r="B142" s="32" t="s">
        <v>177</v>
      </c>
      <c r="C142" s="57"/>
      <c r="D142" s="58"/>
    </row>
    <row r="143" spans="1:4" ht="15" customHeight="1" hidden="1">
      <c r="A143" s="27">
        <f>SUM(A142)+1</f>
        <v>8</v>
      </c>
      <c r="B143" s="32" t="s">
        <v>178</v>
      </c>
      <c r="C143" s="57"/>
      <c r="D143" s="34">
        <v>52794.84</v>
      </c>
    </row>
    <row r="144" spans="1:4" ht="15" customHeight="1" hidden="1">
      <c r="A144" s="27">
        <f>SUM(A143)+1</f>
        <v>9</v>
      </c>
      <c r="B144" s="32" t="s">
        <v>179</v>
      </c>
      <c r="C144" s="37"/>
      <c r="D144" s="34">
        <v>409900</v>
      </c>
    </row>
    <row r="145" spans="1:4" ht="15" customHeight="1" hidden="1">
      <c r="A145" s="35">
        <f>SUM(A144)+1</f>
        <v>10</v>
      </c>
      <c r="B145" s="36" t="s">
        <v>180</v>
      </c>
      <c r="C145" s="37"/>
      <c r="D145" s="34">
        <v>1533.5</v>
      </c>
    </row>
    <row r="146" spans="1:4" ht="15" customHeight="1" hidden="1">
      <c r="A146" s="27">
        <v>11</v>
      </c>
      <c r="B146" s="32" t="s">
        <v>181</v>
      </c>
      <c r="C146" s="33"/>
      <c r="D146" s="34">
        <f>D147+26215+210630+281564</f>
        <v>685607.4878</v>
      </c>
    </row>
    <row r="147" spans="1:4" ht="30" customHeight="1" hidden="1">
      <c r="A147" s="28" t="s">
        <v>182</v>
      </c>
      <c r="B147" s="59" t="s">
        <v>183</v>
      </c>
      <c r="C147" s="60"/>
      <c r="D147" s="64">
        <f>123*78.5*12+(2204748.03+2928500.75)*0.01</f>
        <v>167198.4878</v>
      </c>
    </row>
    <row r="148" spans="1:4" ht="30" customHeight="1" hidden="1">
      <c r="A148" s="61">
        <v>12</v>
      </c>
      <c r="B148" s="62" t="s">
        <v>184</v>
      </c>
      <c r="C148" s="33"/>
      <c r="D148" s="34">
        <v>18238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8"/>
  <sheetViews>
    <sheetView view="pageLayout" zoomScaleSheetLayoutView="120" workbookViewId="0" topLeftCell="A46">
      <selection activeCell="B67" sqref="B67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7.8515625" style="1" customWidth="1"/>
    <col min="4" max="4" width="26.421875" style="1" customWidth="1"/>
    <col min="5" max="16384" width="9.140625" style="1" customWidth="1"/>
  </cols>
  <sheetData>
    <row r="1" spans="1:4" ht="16.5" customHeight="1">
      <c r="A1" s="102" t="s">
        <v>0</v>
      </c>
      <c r="B1" s="102"/>
      <c r="C1" s="102"/>
      <c r="D1" s="102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4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8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87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87">
        <v>42369</v>
      </c>
    </row>
    <row r="7" spans="1:4" s="9" customFormat="1" ht="29.25" customHeight="1">
      <c r="A7" s="103" t="s">
        <v>13</v>
      </c>
      <c r="B7" s="103"/>
      <c r="C7" s="103"/>
      <c r="D7" s="103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12">
        <f>10662.64+187504.68</f>
        <v>198167.32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12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12">
        <f>D8</f>
        <v>198167.32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f>1335916.98+211753.86</f>
        <v>1547670.8399999999</v>
      </c>
    </row>
    <row r="12" spans="1:4" s="9" customFormat="1" ht="15">
      <c r="A12" s="6" t="s">
        <v>23</v>
      </c>
      <c r="B12" s="15" t="s">
        <v>24</v>
      </c>
      <c r="C12" s="8" t="s">
        <v>16</v>
      </c>
      <c r="D12" s="8">
        <v>0</v>
      </c>
    </row>
    <row r="13" spans="1:4" s="9" customFormat="1" ht="15">
      <c r="A13" s="6" t="s">
        <v>25</v>
      </c>
      <c r="B13" s="15" t="s">
        <v>26</v>
      </c>
      <c r="C13" s="8" t="s">
        <v>16</v>
      </c>
      <c r="D13" s="8">
        <v>0</v>
      </c>
    </row>
    <row r="14" spans="1:4" s="9" customFormat="1" ht="15">
      <c r="A14" s="6" t="s">
        <v>27</v>
      </c>
      <c r="B14" s="15" t="s">
        <v>28</v>
      </c>
      <c r="C14" s="8" t="s">
        <v>16</v>
      </c>
      <c r="D14" s="8">
        <v>0</v>
      </c>
    </row>
    <row r="15" spans="1:4" s="9" customFormat="1" ht="15">
      <c r="A15" s="6" t="s">
        <v>29</v>
      </c>
      <c r="B15" s="16" t="s">
        <v>30</v>
      </c>
      <c r="C15" s="8" t="s">
        <v>16</v>
      </c>
      <c r="D15" s="8">
        <f>D16+D19</f>
        <v>1515876.55</v>
      </c>
    </row>
    <row r="16" spans="1:4" s="9" customFormat="1" ht="15">
      <c r="A16" s="6" t="s">
        <v>31</v>
      </c>
      <c r="B16" s="15" t="s">
        <v>32</v>
      </c>
      <c r="C16" s="8" t="s">
        <v>16</v>
      </c>
      <c r="D16" s="8">
        <f>1296617.47+219259.08</f>
        <v>1515876.55</v>
      </c>
    </row>
    <row r="17" spans="1:4" s="9" customFormat="1" ht="15">
      <c r="A17" s="6" t="s">
        <v>33</v>
      </c>
      <c r="B17" s="15" t="s">
        <v>34</v>
      </c>
      <c r="C17" s="8" t="s">
        <v>16</v>
      </c>
      <c r="D17" s="8">
        <v>0</v>
      </c>
    </row>
    <row r="18" spans="1:4" s="9" customFormat="1" ht="15">
      <c r="A18" s="6" t="s">
        <v>35</v>
      </c>
      <c r="B18" s="15" t="s">
        <v>36</v>
      </c>
      <c r="C18" s="8" t="s">
        <v>16</v>
      </c>
      <c r="D18" s="8">
        <v>0</v>
      </c>
    </row>
    <row r="19" spans="1:4" s="9" customFormat="1" ht="15">
      <c r="A19" s="6" t="s">
        <v>37</v>
      </c>
      <c r="B19" s="15" t="s">
        <v>38</v>
      </c>
      <c r="C19" s="8" t="s">
        <v>16</v>
      </c>
      <c r="D19" s="8">
        <v>0</v>
      </c>
    </row>
    <row r="20" spans="1:4" s="9" customFormat="1" ht="15">
      <c r="A20" s="6" t="s">
        <v>39</v>
      </c>
      <c r="B20" s="15" t="s">
        <v>40</v>
      </c>
      <c r="C20" s="8" t="s">
        <v>16</v>
      </c>
      <c r="D20" s="8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8">
        <f>D15</f>
        <v>1515876.55</v>
      </c>
    </row>
    <row r="22" spans="1:4" s="9" customFormat="1" ht="15">
      <c r="A22" s="6" t="s">
        <v>43</v>
      </c>
      <c r="B22" s="16" t="s">
        <v>44</v>
      </c>
      <c r="C22" s="8" t="s">
        <v>16</v>
      </c>
      <c r="D22" s="17">
        <f>D8+D11-D15</f>
        <v>229961.60999999987</v>
      </c>
    </row>
    <row r="23" spans="1:4" s="9" customFormat="1" ht="15">
      <c r="A23" s="6" t="s">
        <v>45</v>
      </c>
      <c r="B23" s="15" t="s">
        <v>46</v>
      </c>
      <c r="C23" s="8" t="s">
        <v>16</v>
      </c>
      <c r="D23" s="8">
        <v>0</v>
      </c>
    </row>
    <row r="24" spans="1:4" s="9" customFormat="1" ht="15">
      <c r="A24" s="6" t="s">
        <v>47</v>
      </c>
      <c r="B24" s="15" t="s">
        <v>48</v>
      </c>
      <c r="C24" s="8" t="s">
        <v>16</v>
      </c>
      <c r="D24" s="17">
        <f>3157.42+226804.19</f>
        <v>229961.61000000002</v>
      </c>
    </row>
    <row r="25" spans="1:4" s="9" customFormat="1" ht="29.25" customHeight="1">
      <c r="A25" s="101" t="s">
        <v>49</v>
      </c>
      <c r="B25" s="101"/>
      <c r="C25" s="101"/>
      <c r="D25" s="101"/>
    </row>
    <row r="26" spans="1:4" s="9" customFormat="1" ht="15">
      <c r="A26" s="6"/>
      <c r="B26" s="7" t="s">
        <v>50</v>
      </c>
      <c r="C26" s="18"/>
      <c r="D26" s="18"/>
    </row>
    <row r="27" spans="1:4" s="9" customFormat="1" ht="15">
      <c r="A27" s="6" t="s">
        <v>51</v>
      </c>
      <c r="B27" s="16" t="s">
        <v>52</v>
      </c>
      <c r="C27" s="8" t="s">
        <v>7</v>
      </c>
      <c r="D27" s="8" t="s">
        <v>53</v>
      </c>
    </row>
    <row r="28" spans="1:4" s="9" customFormat="1" ht="15">
      <c r="A28" s="6" t="s">
        <v>54</v>
      </c>
      <c r="B28" s="16" t="s">
        <v>55</v>
      </c>
      <c r="C28" s="8" t="s">
        <v>7</v>
      </c>
      <c r="D28" s="8" t="s">
        <v>53</v>
      </c>
    </row>
    <row r="29" spans="1:4" s="9" customFormat="1" ht="15">
      <c r="A29" s="6" t="s">
        <v>56</v>
      </c>
      <c r="B29" s="16" t="s">
        <v>57</v>
      </c>
      <c r="C29" s="8" t="s">
        <v>7</v>
      </c>
      <c r="D29" s="8" t="s">
        <v>53</v>
      </c>
    </row>
    <row r="30" spans="1:4" s="9" customFormat="1" ht="15">
      <c r="A30" s="6"/>
      <c r="B30" s="7" t="s">
        <v>58</v>
      </c>
      <c r="C30" s="8"/>
      <c r="D30" s="8"/>
    </row>
    <row r="31" spans="1:4" s="9" customFormat="1" ht="38.25">
      <c r="A31" s="19" t="s">
        <v>59</v>
      </c>
      <c r="B31" s="16" t="s">
        <v>52</v>
      </c>
      <c r="C31" s="8" t="s">
        <v>7</v>
      </c>
      <c r="D31" s="20" t="s">
        <v>233</v>
      </c>
    </row>
    <row r="32" spans="1:4" s="9" customFormat="1" ht="51">
      <c r="A32" s="19" t="s">
        <v>60</v>
      </c>
      <c r="B32" s="16" t="s">
        <v>55</v>
      </c>
      <c r="C32" s="8" t="s">
        <v>7</v>
      </c>
      <c r="D32" s="70" t="s">
        <v>257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70" t="s">
        <v>231</v>
      </c>
    </row>
    <row r="34" spans="1:4" s="9" customFormat="1" ht="16.5" customHeight="1">
      <c r="A34" s="101" t="s">
        <v>62</v>
      </c>
      <c r="B34" s="101"/>
      <c r="C34" s="101"/>
      <c r="D34" s="101"/>
    </row>
    <row r="35" spans="1:4" s="9" customFormat="1" ht="15">
      <c r="A35" s="6" t="s">
        <v>63</v>
      </c>
      <c r="B35" s="16" t="s">
        <v>64</v>
      </c>
      <c r="C35" s="8" t="s">
        <v>65</v>
      </c>
      <c r="D35" s="21">
        <v>0</v>
      </c>
    </row>
    <row r="36" spans="1:4" s="9" customFormat="1" ht="15">
      <c r="A36" s="6" t="s">
        <v>66</v>
      </c>
      <c r="B36" s="16" t="s">
        <v>67</v>
      </c>
      <c r="C36" s="8" t="s">
        <v>65</v>
      </c>
      <c r="D36" s="21">
        <v>0</v>
      </c>
    </row>
    <row r="37" spans="1:4" s="9" customFormat="1" ht="15">
      <c r="A37" s="6" t="s">
        <v>68</v>
      </c>
      <c r="B37" s="16" t="s">
        <v>69</v>
      </c>
      <c r="C37" s="8" t="s">
        <v>65</v>
      </c>
      <c r="D37" s="21">
        <v>0</v>
      </c>
    </row>
    <row r="38" spans="1:4" s="9" customFormat="1" ht="15">
      <c r="A38" s="6" t="s">
        <v>70</v>
      </c>
      <c r="B38" s="16" t="s">
        <v>71</v>
      </c>
      <c r="C38" s="8" t="s">
        <v>16</v>
      </c>
      <c r="D38" s="21">
        <v>0</v>
      </c>
    </row>
    <row r="39" spans="1:4" s="9" customFormat="1" ht="16.5" customHeight="1">
      <c r="A39" s="101" t="s">
        <v>72</v>
      </c>
      <c r="B39" s="101"/>
      <c r="C39" s="101"/>
      <c r="D39" s="101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8">
        <v>0</v>
      </c>
    </row>
    <row r="41" spans="1:4" s="9" customFormat="1" ht="15">
      <c r="A41" s="6" t="s">
        <v>75</v>
      </c>
      <c r="B41" s="15" t="s">
        <v>18</v>
      </c>
      <c r="C41" s="8" t="s">
        <v>16</v>
      </c>
      <c r="D41" s="8">
        <v>0</v>
      </c>
    </row>
    <row r="42" spans="1:4" s="9" customFormat="1" ht="15">
      <c r="A42" s="6" t="s">
        <v>76</v>
      </c>
      <c r="B42" s="15" t="s">
        <v>20</v>
      </c>
      <c r="C42" s="8" t="s">
        <v>16</v>
      </c>
      <c r="D42" s="8">
        <v>0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D52+D72+D82</f>
        <v>144514.9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8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D43</f>
        <v>144514.9</v>
      </c>
    </row>
    <row r="46" spans="1:4" s="9" customFormat="1" ht="15" customHeight="1">
      <c r="A46" s="101" t="s">
        <v>81</v>
      </c>
      <c r="B46" s="101"/>
      <c r="C46" s="101"/>
      <c r="D46" s="101"/>
    </row>
    <row r="47" spans="1:4" s="9" customFormat="1" ht="15" customHeight="1">
      <c r="A47" s="6" t="s">
        <v>82</v>
      </c>
      <c r="B47" s="16" t="s">
        <v>83</v>
      </c>
      <c r="C47" s="8" t="s">
        <v>7</v>
      </c>
      <c r="D47" s="22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8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D50/28.07</f>
        <v>5178.239045244033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145353.17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122280.74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23072.44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145353.17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176597.5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-7840.78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15.75" customHeight="1">
      <c r="A57" s="6" t="s">
        <v>82</v>
      </c>
      <c r="B57" s="16" t="s">
        <v>83</v>
      </c>
      <c r="C57" s="8" t="s">
        <v>7</v>
      </c>
      <c r="D57" s="22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8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22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8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</f>
        <v>5178.239045244033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79745.88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67087.53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12658.35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79745.88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105909.51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-4702.29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22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6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D80/1734.01</f>
        <v>395.2255061966194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v>685324.98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576540.87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v>108784.11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f>D80</f>
        <v>685324.98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698530.91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32555.3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101" t="s">
        <v>138</v>
      </c>
      <c r="B87" s="101"/>
      <c r="C87" s="101"/>
      <c r="D87" s="101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8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8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8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8">
        <v>0</v>
      </c>
    </row>
    <row r="92" spans="1:4" s="9" customFormat="1" ht="15.75" customHeight="1">
      <c r="A92" s="101" t="s">
        <v>143</v>
      </c>
      <c r="B92" s="101"/>
      <c r="C92" s="101"/>
      <c r="D92" s="101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8">
        <v>10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8">
        <v>1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8">
        <v>52125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63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1345099.326</v>
      </c>
    </row>
    <row r="103" spans="1:4" ht="15" hidden="1">
      <c r="A103" s="27">
        <v>1</v>
      </c>
      <c r="B103" s="32" t="s">
        <v>155</v>
      </c>
      <c r="C103" s="33"/>
      <c r="D103" s="34">
        <v>175561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93592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38149.09</v>
      </c>
    </row>
    <row r="106" spans="1:4" ht="15" hidden="1">
      <c r="A106" s="27">
        <f>SUM(A105)+1</f>
        <v>4</v>
      </c>
      <c r="B106" s="32" t="s">
        <v>158</v>
      </c>
      <c r="C106" s="37"/>
      <c r="D106" s="33">
        <v>0</v>
      </c>
    </row>
    <row r="107" spans="1:4" ht="15" hidden="1">
      <c r="A107" s="27">
        <f>SUM(A106)+1</f>
        <v>5</v>
      </c>
      <c r="B107" s="32" t="s">
        <v>159</v>
      </c>
      <c r="C107" s="37"/>
      <c r="D107" s="39">
        <f>SUM(D109:D112)</f>
        <v>0</v>
      </c>
    </row>
    <row r="108" spans="1:4" ht="15" hidden="1">
      <c r="A108" s="27" t="s">
        <v>7</v>
      </c>
      <c r="B108" s="40" t="s">
        <v>160</v>
      </c>
      <c r="C108" s="37"/>
      <c r="D108" s="39"/>
    </row>
    <row r="109" spans="1:4" ht="15" hidden="1">
      <c r="A109" s="27"/>
      <c r="B109" s="41" t="s">
        <v>161</v>
      </c>
      <c r="C109" s="37"/>
      <c r="D109" s="33"/>
    </row>
    <row r="110" spans="1:4" ht="15" hidden="1">
      <c r="A110" s="27"/>
      <c r="B110" s="41" t="s">
        <v>162</v>
      </c>
      <c r="C110" s="37"/>
      <c r="D110" s="33"/>
    </row>
    <row r="111" spans="1:4" ht="15" hidden="1">
      <c r="A111" s="27" t="s">
        <v>7</v>
      </c>
      <c r="B111" s="42" t="s">
        <v>163</v>
      </c>
      <c r="C111" s="37"/>
      <c r="D111" s="33"/>
    </row>
    <row r="112" spans="1:4" ht="15" hidden="1">
      <c r="A112" s="43" t="s">
        <v>7</v>
      </c>
      <c r="B112" s="44" t="s">
        <v>185</v>
      </c>
      <c r="C112" s="45"/>
      <c r="D112" s="46"/>
    </row>
    <row r="113" spans="1:4" ht="60" hidden="1">
      <c r="A113" s="27">
        <f>SUM(A107)+1</f>
        <v>6</v>
      </c>
      <c r="B113" s="47" t="s">
        <v>164</v>
      </c>
      <c r="C113" s="48"/>
      <c r="D113" s="34">
        <f>D114+D115+D116+D117+D124+D125+D136</f>
        <v>398951.6</v>
      </c>
    </row>
    <row r="114" spans="1:4" ht="45" hidden="1">
      <c r="A114" s="49" t="s">
        <v>7</v>
      </c>
      <c r="B114" s="50" t="s">
        <v>165</v>
      </c>
      <c r="C114" s="51"/>
      <c r="D114" s="52">
        <v>184953</v>
      </c>
    </row>
    <row r="115" spans="1:4" ht="15" hidden="1">
      <c r="A115" s="53" t="s">
        <v>7</v>
      </c>
      <c r="B115" s="54" t="s">
        <v>166</v>
      </c>
      <c r="C115" s="37"/>
      <c r="D115" s="34">
        <v>57151</v>
      </c>
    </row>
    <row r="116" spans="1:4" ht="15" hidden="1">
      <c r="A116" s="53" t="s">
        <v>7</v>
      </c>
      <c r="B116" s="54" t="s">
        <v>167</v>
      </c>
      <c r="C116" s="37"/>
      <c r="D116" s="34">
        <v>10801.05</v>
      </c>
    </row>
    <row r="117" spans="1:4" ht="15" hidden="1">
      <c r="A117" s="53" t="s">
        <v>7</v>
      </c>
      <c r="B117" s="54" t="s">
        <v>168</v>
      </c>
      <c r="C117" s="37"/>
      <c r="D117" s="34">
        <f>SUM(D118:D123)</f>
        <v>1858</v>
      </c>
    </row>
    <row r="118" spans="1:4" ht="15" hidden="1">
      <c r="A118" s="53"/>
      <c r="B118" s="54" t="s">
        <v>207</v>
      </c>
      <c r="C118" s="37"/>
      <c r="D118" s="34">
        <v>1858</v>
      </c>
    </row>
    <row r="119" spans="1:4" ht="15" hidden="1">
      <c r="A119" s="53"/>
      <c r="B119" s="54"/>
      <c r="C119" s="37"/>
      <c r="D119" s="34"/>
    </row>
    <row r="120" spans="1:4" ht="15" hidden="1">
      <c r="A120" s="53"/>
      <c r="B120" s="54"/>
      <c r="C120" s="37"/>
      <c r="D120" s="34"/>
    </row>
    <row r="121" spans="1:4" ht="15" hidden="1">
      <c r="A121" s="53"/>
      <c r="B121" s="54"/>
      <c r="C121" s="37"/>
      <c r="D121" s="34"/>
    </row>
    <row r="122" spans="1:4" ht="15" hidden="1">
      <c r="A122" s="53"/>
      <c r="B122" s="54"/>
      <c r="C122" s="37"/>
      <c r="D122" s="34"/>
    </row>
    <row r="123" spans="1:4" ht="15" hidden="1">
      <c r="A123" s="53"/>
      <c r="B123" s="54"/>
      <c r="C123" s="37"/>
      <c r="D123" s="34"/>
    </row>
    <row r="124" spans="1:4" ht="15" hidden="1">
      <c r="A124" s="53" t="s">
        <v>7</v>
      </c>
      <c r="B124" s="54" t="s">
        <v>169</v>
      </c>
      <c r="C124" s="37"/>
      <c r="D124" s="33">
        <v>35291</v>
      </c>
    </row>
    <row r="125" spans="1:5" ht="15" hidden="1">
      <c r="A125" s="53" t="s">
        <v>7</v>
      </c>
      <c r="B125" s="54" t="s">
        <v>170</v>
      </c>
      <c r="C125" s="37"/>
      <c r="D125" s="90">
        <f>SUM(D126:D135)</f>
        <v>88361.54999999999</v>
      </c>
      <c r="E125" s="89"/>
    </row>
    <row r="126" spans="1:4" ht="15" hidden="1">
      <c r="A126" s="53"/>
      <c r="B126" s="54" t="s">
        <v>209</v>
      </c>
      <c r="C126" s="37"/>
      <c r="D126" s="39">
        <v>65574.65</v>
      </c>
    </row>
    <row r="127" spans="1:4" ht="15" hidden="1">
      <c r="A127" s="53"/>
      <c r="B127" s="54" t="s">
        <v>214</v>
      </c>
      <c r="C127" s="37"/>
      <c r="D127" s="39">
        <v>22786.9</v>
      </c>
    </row>
    <row r="128" spans="1:4" ht="15" hidden="1">
      <c r="A128" s="53"/>
      <c r="B128" s="54"/>
      <c r="C128" s="37"/>
      <c r="D128" s="39"/>
    </row>
    <row r="129" spans="1:4" ht="15" hidden="1">
      <c r="A129" s="53"/>
      <c r="B129" s="54"/>
      <c r="C129" s="37"/>
      <c r="D129" s="39"/>
    </row>
    <row r="130" spans="1:4" ht="15" hidden="1">
      <c r="A130" s="53"/>
      <c r="B130" s="54"/>
      <c r="C130" s="37"/>
      <c r="D130" s="39"/>
    </row>
    <row r="131" spans="1:4" ht="15" hidden="1">
      <c r="A131" s="53"/>
      <c r="B131" s="54"/>
      <c r="C131" s="37"/>
      <c r="D131" s="39"/>
    </row>
    <row r="132" spans="1:4" ht="15" hidden="1">
      <c r="A132" s="53"/>
      <c r="B132" s="54"/>
      <c r="C132" s="37"/>
      <c r="D132" s="39"/>
    </row>
    <row r="133" spans="1:4" ht="15" hidden="1">
      <c r="A133" s="53"/>
      <c r="B133" s="54"/>
      <c r="C133" s="37"/>
      <c r="D133" s="39"/>
    </row>
    <row r="134" spans="1:4" ht="15" hidden="1">
      <c r="A134" s="53"/>
      <c r="B134" s="54"/>
      <c r="C134" s="37"/>
      <c r="D134" s="39"/>
    </row>
    <row r="135" spans="1:4" ht="15" hidden="1">
      <c r="A135" s="53"/>
      <c r="B135" s="54"/>
      <c r="C135" s="37"/>
      <c r="D135" s="39"/>
    </row>
    <row r="136" spans="1:4" ht="15" hidden="1">
      <c r="A136" s="53" t="s">
        <v>7</v>
      </c>
      <c r="B136" s="55" t="s">
        <v>171</v>
      </c>
      <c r="C136" s="37"/>
      <c r="D136" s="39">
        <f>SUM(D137:D141)</f>
        <v>20536</v>
      </c>
    </row>
    <row r="137" spans="1:4" ht="15" hidden="1">
      <c r="A137" s="53"/>
      <c r="B137" s="56" t="s">
        <v>172</v>
      </c>
      <c r="C137" s="37"/>
      <c r="D137" s="33">
        <v>2544</v>
      </c>
    </row>
    <row r="138" spans="1:4" ht="15" hidden="1">
      <c r="A138" s="53"/>
      <c r="B138" s="56" t="s">
        <v>173</v>
      </c>
      <c r="C138" s="37"/>
      <c r="D138" s="33">
        <v>7671</v>
      </c>
    </row>
    <row r="139" spans="1:4" ht="15" hidden="1">
      <c r="A139" s="53"/>
      <c r="B139" s="56" t="s">
        <v>174</v>
      </c>
      <c r="C139" s="37"/>
      <c r="D139" s="33">
        <v>4419</v>
      </c>
    </row>
    <row r="140" spans="1:4" ht="15" hidden="1">
      <c r="A140" s="53"/>
      <c r="B140" s="56" t="s">
        <v>175</v>
      </c>
      <c r="C140" s="37"/>
      <c r="D140" s="33">
        <v>1642</v>
      </c>
    </row>
    <row r="141" spans="1:4" ht="15" hidden="1">
      <c r="A141" s="53"/>
      <c r="B141" s="56" t="s">
        <v>176</v>
      </c>
      <c r="C141" s="37"/>
      <c r="D141" s="33">
        <v>4260</v>
      </c>
    </row>
    <row r="142" spans="1:4" ht="15" hidden="1">
      <c r="A142" s="27">
        <v>7</v>
      </c>
      <c r="B142" s="32" t="s">
        <v>177</v>
      </c>
      <c r="C142" s="57"/>
      <c r="D142" s="58"/>
    </row>
    <row r="143" spans="1:4" ht="15" hidden="1">
      <c r="A143" s="27">
        <f>SUM(A142)+1</f>
        <v>8</v>
      </c>
      <c r="B143" s="32" t="s">
        <v>178</v>
      </c>
      <c r="C143" s="57"/>
      <c r="D143" s="34">
        <v>30169.48</v>
      </c>
    </row>
    <row r="144" spans="1:4" ht="15" hidden="1">
      <c r="A144" s="27">
        <f>SUM(A143)+1</f>
        <v>9</v>
      </c>
      <c r="B144" s="32" t="s">
        <v>179</v>
      </c>
      <c r="C144" s="37"/>
      <c r="D144" s="33">
        <v>223127</v>
      </c>
    </row>
    <row r="145" spans="1:4" ht="15" hidden="1">
      <c r="A145" s="35">
        <f>SUM(A144)+1</f>
        <v>10</v>
      </c>
      <c r="B145" s="36" t="s">
        <v>180</v>
      </c>
      <c r="C145" s="37"/>
      <c r="D145" s="33">
        <v>2152.89</v>
      </c>
    </row>
    <row r="146" spans="1:4" ht="15" hidden="1">
      <c r="A146" s="27">
        <v>11</v>
      </c>
      <c r="B146" s="32" t="s">
        <v>181</v>
      </c>
      <c r="C146" s="33"/>
      <c r="D146" s="39">
        <f>D147+14270+114655+153268</f>
        <v>373468.266</v>
      </c>
    </row>
    <row r="147" spans="1:4" ht="30" hidden="1">
      <c r="A147" s="28" t="s">
        <v>182</v>
      </c>
      <c r="B147" s="59" t="s">
        <v>183</v>
      </c>
      <c r="C147" s="60"/>
      <c r="D147" s="65">
        <f>75*78.5*12+(1296617.47+765909.13)*0.01</f>
        <v>91275.266</v>
      </c>
    </row>
    <row r="148" spans="1:4" ht="30" hidden="1">
      <c r="A148" s="61">
        <v>12</v>
      </c>
      <c r="B148" s="62" t="s">
        <v>184</v>
      </c>
      <c r="C148" s="33"/>
      <c r="D148" s="33">
        <v>9928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8"/>
  <sheetViews>
    <sheetView view="pageLayout" zoomScaleSheetLayoutView="110" workbookViewId="0" topLeftCell="A13">
      <selection activeCell="B32" sqref="B32"/>
    </sheetView>
  </sheetViews>
  <sheetFormatPr defaultColWidth="9.140625" defaultRowHeight="15"/>
  <cols>
    <col min="1" max="1" width="5.8515625" style="2" customWidth="1"/>
    <col min="2" max="2" width="60.140625" style="3" customWidth="1"/>
    <col min="3" max="3" width="8.00390625" style="1" customWidth="1"/>
    <col min="4" max="4" width="24.8515625" style="66" customWidth="1"/>
    <col min="5" max="16384" width="9.140625" style="1" customWidth="1"/>
  </cols>
  <sheetData>
    <row r="1" spans="1:4" ht="16.5" customHeight="1">
      <c r="A1" s="102" t="s">
        <v>0</v>
      </c>
      <c r="B1" s="102"/>
      <c r="C1" s="102"/>
      <c r="D1" s="102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7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87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87">
        <v>42369</v>
      </c>
    </row>
    <row r="7" spans="1:4" s="9" customFormat="1" ht="29.25" customHeight="1">
      <c r="A7" s="103" t="s">
        <v>13</v>
      </c>
      <c r="B7" s="103"/>
      <c r="C7" s="103"/>
      <c r="D7" s="103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8">
        <f>428261.85+69064.1</f>
        <v>497325.94999999995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8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8">
        <f>D8</f>
        <v>497325.94999999995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f>2298660.72+374812.74</f>
        <v>2673473.46</v>
      </c>
    </row>
    <row r="12" spans="1:4" s="9" customFormat="1" ht="15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">
      <c r="A15" s="6" t="s">
        <v>29</v>
      </c>
      <c r="B15" s="16" t="s">
        <v>30</v>
      </c>
      <c r="C15" s="8" t="s">
        <v>16</v>
      </c>
      <c r="D15" s="17">
        <f>D16</f>
        <v>2645080</v>
      </c>
    </row>
    <row r="16" spans="1:4" s="9" customFormat="1" ht="15">
      <c r="A16" s="6" t="s">
        <v>31</v>
      </c>
      <c r="B16" s="15" t="s">
        <v>32</v>
      </c>
      <c r="C16" s="8" t="s">
        <v>16</v>
      </c>
      <c r="D16" s="17">
        <f>2240888.48+404191.52</f>
        <v>2645080</v>
      </c>
    </row>
    <row r="17" spans="1:4" s="9" customFormat="1" ht="15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2645080</v>
      </c>
    </row>
    <row r="22" spans="1:4" s="9" customFormat="1" ht="15">
      <c r="A22" s="6" t="s">
        <v>43</v>
      </c>
      <c r="B22" s="16" t="s">
        <v>44</v>
      </c>
      <c r="C22" s="8" t="s">
        <v>16</v>
      </c>
      <c r="D22" s="17">
        <f>D8+D11-D15</f>
        <v>525719.4100000001</v>
      </c>
    </row>
    <row r="23" spans="1:4" s="9" customFormat="1" ht="15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>
      <c r="A24" s="6" t="s">
        <v>47</v>
      </c>
      <c r="B24" s="15" t="s">
        <v>48</v>
      </c>
      <c r="C24" s="8" t="s">
        <v>16</v>
      </c>
      <c r="D24" s="17">
        <f>39685.32+486034.09</f>
        <v>525719.41</v>
      </c>
    </row>
    <row r="25" spans="1:4" s="9" customFormat="1" ht="29.25" customHeight="1">
      <c r="A25" s="101" t="s">
        <v>49</v>
      </c>
      <c r="B25" s="101"/>
      <c r="C25" s="101"/>
      <c r="D25" s="101"/>
    </row>
    <row r="26" spans="1:4" s="9" customFormat="1" ht="15">
      <c r="A26" s="6"/>
      <c r="B26" s="7" t="s">
        <v>50</v>
      </c>
      <c r="C26" s="18"/>
      <c r="D26" s="69"/>
    </row>
    <row r="27" spans="1:4" s="9" customFormat="1" ht="15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5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5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5">
      <c r="A30" s="6"/>
      <c r="B30" s="7" t="s">
        <v>58</v>
      </c>
      <c r="C30" s="8"/>
      <c r="D30" s="17"/>
    </row>
    <row r="31" spans="1:4" s="9" customFormat="1" ht="62.25" customHeight="1">
      <c r="A31" s="19" t="s">
        <v>59</v>
      </c>
      <c r="B31" s="16" t="s">
        <v>52</v>
      </c>
      <c r="C31" s="8" t="s">
        <v>7</v>
      </c>
      <c r="D31" s="70" t="s">
        <v>234</v>
      </c>
    </row>
    <row r="32" spans="1:4" s="9" customFormat="1" ht="51">
      <c r="A32" s="19" t="s">
        <v>60</v>
      </c>
      <c r="B32" s="16" t="s">
        <v>55</v>
      </c>
      <c r="C32" s="8" t="s">
        <v>7</v>
      </c>
      <c r="D32" s="70" t="s">
        <v>232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70" t="s">
        <v>231</v>
      </c>
    </row>
    <row r="34" spans="1:4" s="9" customFormat="1" ht="16.5" customHeight="1">
      <c r="A34" s="101" t="s">
        <v>62</v>
      </c>
      <c r="B34" s="101"/>
      <c r="C34" s="101"/>
      <c r="D34" s="101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01" t="s">
        <v>72</v>
      </c>
      <c r="B39" s="101"/>
      <c r="C39" s="101"/>
      <c r="D39" s="101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366652.6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366652.6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D52+D72+D82</f>
        <v>479356.81999999995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D43</f>
        <v>479356.81999999995</v>
      </c>
    </row>
    <row r="46" spans="1:4" s="9" customFormat="1" ht="15" customHeight="1">
      <c r="A46" s="101" t="s">
        <v>81</v>
      </c>
      <c r="B46" s="101"/>
      <c r="C46" s="101"/>
      <c r="D46" s="101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71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19038.56873265495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514517.32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495682.41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80109.18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514517.32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625115.18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-27754.59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15.75" customHeight="1">
      <c r="A57" s="6" t="s">
        <v>82</v>
      </c>
      <c r="B57" s="16" t="s">
        <v>83</v>
      </c>
      <c r="C57" s="8" t="s">
        <v>7</v>
      </c>
      <c r="D57" s="71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71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</f>
        <v>19038.56873265495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279754.9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269513.93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43557.21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279754.9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371539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f>-16496.02</f>
        <v>-16496.02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71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D80/1673.36</f>
        <v>1365.2132356456473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v>2284493.22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2200864.89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v>355690.43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f>D80</f>
        <v>2284493.22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2328514.46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108521.32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101" t="s">
        <v>138</v>
      </c>
      <c r="B87" s="101"/>
      <c r="C87" s="101"/>
      <c r="D87" s="101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01" t="s">
        <v>143</v>
      </c>
      <c r="B92" s="101"/>
      <c r="C92" s="101"/>
      <c r="D92" s="101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88">
        <v>13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88">
        <v>2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58251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72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2364997.4469999997</v>
      </c>
    </row>
    <row r="103" spans="1:4" ht="15" hidden="1">
      <c r="A103" s="27">
        <v>1</v>
      </c>
      <c r="B103" s="32" t="s">
        <v>155</v>
      </c>
      <c r="C103" s="33"/>
      <c r="D103" s="34">
        <v>299844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159847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27429.48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0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0</v>
      </c>
    </row>
    <row r="108" spans="1:4" ht="15" hidden="1">
      <c r="A108" s="27" t="s">
        <v>7</v>
      </c>
      <c r="B108" s="40" t="s">
        <v>160</v>
      </c>
      <c r="C108" s="37"/>
      <c r="D108" s="34"/>
    </row>
    <row r="109" spans="1:4" ht="15" hidden="1">
      <c r="A109" s="27"/>
      <c r="B109" s="41" t="s">
        <v>161</v>
      </c>
      <c r="C109" s="37"/>
      <c r="D109" s="34"/>
    </row>
    <row r="110" spans="1:4" ht="15" hidden="1">
      <c r="A110" s="27"/>
      <c r="B110" s="41" t="s">
        <v>162</v>
      </c>
      <c r="C110" s="37"/>
      <c r="D110" s="34"/>
    </row>
    <row r="111" spans="1:4" ht="15" hidden="1">
      <c r="A111" s="27" t="s">
        <v>7</v>
      </c>
      <c r="B111" s="42" t="s">
        <v>163</v>
      </c>
      <c r="C111" s="37"/>
      <c r="D111" s="34"/>
    </row>
    <row r="112" spans="1:4" ht="15" hidden="1">
      <c r="A112" s="43" t="s">
        <v>7</v>
      </c>
      <c r="B112" s="44" t="s">
        <v>185</v>
      </c>
      <c r="C112" s="45"/>
      <c r="D112" s="73"/>
    </row>
    <row r="113" spans="1:4" ht="60" hidden="1">
      <c r="A113" s="27">
        <f>SUM(A107)+1</f>
        <v>6</v>
      </c>
      <c r="B113" s="47" t="s">
        <v>164</v>
      </c>
      <c r="C113" s="48"/>
      <c r="D113" s="34">
        <f>D114+D115+D116+D117+D124+D125+D136</f>
        <v>756952.6</v>
      </c>
    </row>
    <row r="114" spans="1:4" ht="45" hidden="1">
      <c r="A114" s="49" t="s">
        <v>7</v>
      </c>
      <c r="B114" s="50" t="s">
        <v>165</v>
      </c>
      <c r="C114" s="51"/>
      <c r="D114" s="52">
        <v>296106</v>
      </c>
    </row>
    <row r="115" spans="1:4" ht="15" hidden="1">
      <c r="A115" s="53" t="s">
        <v>7</v>
      </c>
      <c r="B115" s="54" t="s">
        <v>166</v>
      </c>
      <c r="C115" s="37"/>
      <c r="D115" s="34">
        <v>91497</v>
      </c>
    </row>
    <row r="116" spans="1:4" ht="15" hidden="1">
      <c r="A116" s="53" t="s">
        <v>7</v>
      </c>
      <c r="B116" s="54" t="s">
        <v>167</v>
      </c>
      <c r="C116" s="37"/>
      <c r="D116" s="34">
        <v>18454.98</v>
      </c>
    </row>
    <row r="117" spans="1:4" ht="15" hidden="1">
      <c r="A117" s="53" t="s">
        <v>7</v>
      </c>
      <c r="B117" s="54" t="s">
        <v>168</v>
      </c>
      <c r="C117" s="37"/>
      <c r="D117" s="34">
        <f>SUM(D118:D123)</f>
        <v>3186</v>
      </c>
    </row>
    <row r="118" spans="1:4" ht="15" hidden="1">
      <c r="A118" s="53"/>
      <c r="B118" s="54" t="s">
        <v>207</v>
      </c>
      <c r="C118" s="37"/>
      <c r="D118" s="34">
        <v>3186</v>
      </c>
    </row>
    <row r="119" spans="1:4" ht="15" hidden="1">
      <c r="A119" s="53"/>
      <c r="B119" s="54"/>
      <c r="C119" s="37"/>
      <c r="D119" s="34"/>
    </row>
    <row r="120" spans="1:4" ht="15" hidden="1">
      <c r="A120" s="53"/>
      <c r="B120" s="54"/>
      <c r="C120" s="37"/>
      <c r="D120" s="34"/>
    </row>
    <row r="121" spans="1:4" ht="15" hidden="1">
      <c r="A121" s="53"/>
      <c r="B121" s="54"/>
      <c r="C121" s="37"/>
      <c r="D121" s="34"/>
    </row>
    <row r="122" spans="1:4" ht="15" hidden="1">
      <c r="A122" s="53"/>
      <c r="B122" s="54"/>
      <c r="C122" s="37"/>
      <c r="D122" s="34"/>
    </row>
    <row r="123" spans="1:4" ht="15" hidden="1">
      <c r="A123" s="53"/>
      <c r="B123" s="54"/>
      <c r="C123" s="37"/>
      <c r="D123" s="34"/>
    </row>
    <row r="124" spans="1:4" ht="15" hidden="1">
      <c r="A124" s="53" t="s">
        <v>7</v>
      </c>
      <c r="B124" s="54" t="s">
        <v>169</v>
      </c>
      <c r="C124" s="37"/>
      <c r="D124" s="34">
        <v>60535</v>
      </c>
    </row>
    <row r="125" spans="1:6" ht="15" hidden="1">
      <c r="A125" s="53" t="s">
        <v>7</v>
      </c>
      <c r="B125" s="54" t="s">
        <v>170</v>
      </c>
      <c r="C125" s="37"/>
      <c r="D125" s="34">
        <f>SUM(D126:D135)</f>
        <v>251946.62</v>
      </c>
      <c r="F125" s="89"/>
    </row>
    <row r="126" spans="1:4" ht="15" hidden="1">
      <c r="A126" s="53"/>
      <c r="B126" s="54" t="s">
        <v>215</v>
      </c>
      <c r="C126" s="37"/>
      <c r="D126" s="34">
        <v>40748.35</v>
      </c>
    </row>
    <row r="127" spans="1:4" ht="15" hidden="1">
      <c r="A127" s="53"/>
      <c r="B127" s="54" t="s">
        <v>215</v>
      </c>
      <c r="C127" s="37"/>
      <c r="D127" s="34">
        <v>5129.2</v>
      </c>
    </row>
    <row r="128" spans="1:4" ht="15" hidden="1">
      <c r="A128" s="53"/>
      <c r="B128" s="54" t="s">
        <v>212</v>
      </c>
      <c r="C128" s="37"/>
      <c r="D128" s="34">
        <v>206069.07</v>
      </c>
    </row>
    <row r="129" spans="1:4" ht="15" hidden="1">
      <c r="A129" s="53"/>
      <c r="B129" s="54"/>
      <c r="C129" s="37"/>
      <c r="D129" s="34"/>
    </row>
    <row r="130" spans="1:4" ht="15" hidden="1">
      <c r="A130" s="53"/>
      <c r="B130" s="54"/>
      <c r="C130" s="37"/>
      <c r="D130" s="34"/>
    </row>
    <row r="131" spans="1:4" ht="15" hidden="1">
      <c r="A131" s="53"/>
      <c r="B131" s="54"/>
      <c r="C131" s="37"/>
      <c r="D131" s="34"/>
    </row>
    <row r="132" spans="1:4" ht="15" hidden="1">
      <c r="A132" s="53"/>
      <c r="B132" s="54"/>
      <c r="C132" s="37"/>
      <c r="D132" s="34"/>
    </row>
    <row r="133" spans="1:4" ht="15" hidden="1">
      <c r="A133" s="53"/>
      <c r="B133" s="54"/>
      <c r="C133" s="37"/>
      <c r="D133" s="34"/>
    </row>
    <row r="134" spans="1:4" ht="15" hidden="1">
      <c r="A134" s="53"/>
      <c r="B134" s="54"/>
      <c r="C134" s="37"/>
      <c r="D134" s="34"/>
    </row>
    <row r="135" spans="1:4" ht="15" hidden="1">
      <c r="A135" s="53"/>
      <c r="B135" s="54"/>
      <c r="C135" s="37"/>
      <c r="D135" s="34"/>
    </row>
    <row r="136" spans="1:4" ht="15" hidden="1">
      <c r="A136" s="53" t="s">
        <v>7</v>
      </c>
      <c r="B136" s="55" t="s">
        <v>171</v>
      </c>
      <c r="C136" s="37"/>
      <c r="D136" s="34">
        <f>SUM(D137:D141)</f>
        <v>35227</v>
      </c>
    </row>
    <row r="137" spans="1:4" ht="15" hidden="1">
      <c r="A137" s="53"/>
      <c r="B137" s="56" t="s">
        <v>172</v>
      </c>
      <c r="C137" s="37"/>
      <c r="D137" s="34">
        <v>4365</v>
      </c>
    </row>
    <row r="138" spans="1:4" ht="15" hidden="1">
      <c r="A138" s="53"/>
      <c r="B138" s="56" t="s">
        <v>173</v>
      </c>
      <c r="C138" s="37"/>
      <c r="D138" s="34">
        <v>13158</v>
      </c>
    </row>
    <row r="139" spans="1:4" ht="15" hidden="1">
      <c r="A139" s="53"/>
      <c r="B139" s="56" t="s">
        <v>174</v>
      </c>
      <c r="C139" s="37"/>
      <c r="D139" s="34">
        <v>7580</v>
      </c>
    </row>
    <row r="140" spans="1:4" ht="15" hidden="1">
      <c r="A140" s="53"/>
      <c r="B140" s="56" t="s">
        <v>175</v>
      </c>
      <c r="C140" s="37"/>
      <c r="D140" s="34">
        <v>2817</v>
      </c>
    </row>
    <row r="141" spans="1:4" ht="15" hidden="1">
      <c r="A141" s="53"/>
      <c r="B141" s="56" t="s">
        <v>176</v>
      </c>
      <c r="C141" s="37"/>
      <c r="D141" s="34">
        <v>7307</v>
      </c>
    </row>
    <row r="142" spans="1:4" ht="15" hidden="1">
      <c r="A142" s="27">
        <v>7</v>
      </c>
      <c r="B142" s="32" t="s">
        <v>177</v>
      </c>
      <c r="C142" s="57"/>
      <c r="D142" s="58"/>
    </row>
    <row r="143" spans="1:4" ht="15" hidden="1">
      <c r="A143" s="27">
        <f>SUM(A142)+1</f>
        <v>8</v>
      </c>
      <c r="B143" s="32" t="s">
        <v>178</v>
      </c>
      <c r="C143" s="57"/>
      <c r="D143" s="34">
        <v>56204.19</v>
      </c>
    </row>
    <row r="144" spans="1:4" ht="15" hidden="1">
      <c r="A144" s="27">
        <f>SUM(A143)+1</f>
        <v>9</v>
      </c>
      <c r="B144" s="32" t="s">
        <v>179</v>
      </c>
      <c r="C144" s="37"/>
      <c r="D144" s="34">
        <v>382735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2605.68</v>
      </c>
    </row>
    <row r="146" spans="1:4" ht="15" hidden="1">
      <c r="A146" s="27">
        <v>11</v>
      </c>
      <c r="B146" s="32" t="s">
        <v>181</v>
      </c>
      <c r="C146" s="33"/>
      <c r="D146" s="34">
        <f>D147+24478+196671+262904</f>
        <v>662350.497</v>
      </c>
    </row>
    <row r="147" spans="1:4" ht="30" hidden="1">
      <c r="A147" s="28" t="s">
        <v>182</v>
      </c>
      <c r="B147" s="59" t="s">
        <v>183</v>
      </c>
      <c r="C147" s="60"/>
      <c r="D147" s="64">
        <f>134*78.5*12+(2240888.48+2966061.22)*0.01</f>
        <v>178297.497</v>
      </c>
    </row>
    <row r="148" spans="1:4" ht="30" hidden="1">
      <c r="A148" s="61">
        <v>12</v>
      </c>
      <c r="B148" s="62" t="s">
        <v>184</v>
      </c>
      <c r="C148" s="33"/>
      <c r="D148" s="34">
        <v>17029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8"/>
  <sheetViews>
    <sheetView view="pageLayout" zoomScaleSheetLayoutView="110" workbookViewId="0" topLeftCell="A46">
      <selection activeCell="B62" sqref="B62"/>
    </sheetView>
  </sheetViews>
  <sheetFormatPr defaultColWidth="9.140625" defaultRowHeight="15"/>
  <cols>
    <col min="1" max="1" width="5.8515625" style="2" customWidth="1"/>
    <col min="2" max="2" width="58.8515625" style="3" customWidth="1"/>
    <col min="3" max="3" width="8.00390625" style="1" customWidth="1"/>
    <col min="4" max="4" width="25.57421875" style="66" customWidth="1"/>
    <col min="5" max="16384" width="9.140625" style="1" customWidth="1"/>
  </cols>
  <sheetData>
    <row r="1" spans="1:4" ht="16.5" customHeight="1">
      <c r="A1" s="102" t="s">
        <v>0</v>
      </c>
      <c r="B1" s="102"/>
      <c r="C1" s="102"/>
      <c r="D1" s="102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7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87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87">
        <v>42369</v>
      </c>
    </row>
    <row r="7" spans="1:4" s="9" customFormat="1" ht="29.25" customHeight="1">
      <c r="A7" s="103" t="s">
        <v>13</v>
      </c>
      <c r="B7" s="103"/>
      <c r="C7" s="103"/>
      <c r="D7" s="103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8">
        <v>263265.4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8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8">
        <f>D8</f>
        <v>263265.4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1286500.08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f>D16</f>
        <v>1204415.86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v>1204415.86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1204415.86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345349.6199999999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v>345349.62</v>
      </c>
    </row>
    <row r="25" spans="1:4" s="9" customFormat="1" ht="29.25" customHeight="1">
      <c r="A25" s="101" t="s">
        <v>49</v>
      </c>
      <c r="B25" s="101"/>
      <c r="C25" s="101"/>
      <c r="D25" s="101"/>
    </row>
    <row r="26" spans="1:4" s="9" customFormat="1" ht="16.5" customHeight="1">
      <c r="A26" s="6"/>
      <c r="B26" s="7" t="s">
        <v>50</v>
      </c>
      <c r="C26" s="18"/>
      <c r="D26" s="69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49.5" customHeight="1">
      <c r="A31" s="19" t="s">
        <v>59</v>
      </c>
      <c r="B31" s="16" t="s">
        <v>52</v>
      </c>
      <c r="C31" s="8" t="s">
        <v>7</v>
      </c>
      <c r="D31" s="70" t="s">
        <v>235</v>
      </c>
    </row>
    <row r="32" spans="1:4" s="9" customFormat="1" ht="76.5">
      <c r="A32" s="19" t="s">
        <v>60</v>
      </c>
      <c r="B32" s="16" t="s">
        <v>55</v>
      </c>
      <c r="C32" s="8" t="s">
        <v>7</v>
      </c>
      <c r="D32" s="70" t="s">
        <v>260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70" t="s">
        <v>231</v>
      </c>
    </row>
    <row r="34" spans="1:4" s="9" customFormat="1" ht="16.5" customHeight="1">
      <c r="A34" s="101" t="s">
        <v>62</v>
      </c>
      <c r="B34" s="101"/>
      <c r="C34" s="101"/>
      <c r="D34" s="101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01" t="s">
        <v>72</v>
      </c>
      <c r="B39" s="101"/>
      <c r="C39" s="101"/>
      <c r="D39" s="101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0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v>0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D52+D72+D82</f>
        <v>140743.93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D43</f>
        <v>140743.93</v>
      </c>
    </row>
    <row r="46" spans="1:4" s="9" customFormat="1" ht="15" customHeight="1">
      <c r="A46" s="101" t="s">
        <v>81</v>
      </c>
      <c r="B46" s="101"/>
      <c r="C46" s="101"/>
      <c r="D46" s="101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71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D50/28.07</f>
        <v>6676.875311720699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187419.89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159189.17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28230.72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187419.89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227706.65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-10109.99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15.75" customHeight="1">
      <c r="A57" s="6" t="s">
        <v>82</v>
      </c>
      <c r="B57" s="16" t="s">
        <v>83</v>
      </c>
      <c r="C57" s="8" t="s">
        <v>7</v>
      </c>
      <c r="D57" s="71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71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</f>
        <v>6676.875311720699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102825.21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87336.83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15488.38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102825.21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136560.88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-6063.19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71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D80/1734.01</f>
        <v>371.47106994769354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v>644134.55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547109.72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v>97024.83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f>D80</f>
        <v>644134.55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656546.76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30598.62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101" t="s">
        <v>138</v>
      </c>
      <c r="B87" s="101"/>
      <c r="C87" s="101"/>
      <c r="D87" s="101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01" t="s">
        <v>143</v>
      </c>
      <c r="B92" s="101"/>
      <c r="C92" s="101"/>
      <c r="D92" s="101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88">
        <v>12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88">
        <v>1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84711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72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1174447.5458</v>
      </c>
    </row>
    <row r="103" spans="1:4" ht="15" hidden="1">
      <c r="A103" s="27">
        <v>1</v>
      </c>
      <c r="B103" s="32" t="s">
        <v>155</v>
      </c>
      <c r="C103" s="33"/>
      <c r="D103" s="34">
        <v>169067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90130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30338.56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0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0</v>
      </c>
    </row>
    <row r="108" spans="1:4" ht="15" hidden="1">
      <c r="A108" s="27" t="s">
        <v>7</v>
      </c>
      <c r="B108" s="40" t="s">
        <v>160</v>
      </c>
      <c r="C108" s="37"/>
      <c r="D108" s="34"/>
    </row>
    <row r="109" spans="1:4" ht="15" hidden="1">
      <c r="A109" s="27"/>
      <c r="B109" s="41" t="s">
        <v>161</v>
      </c>
      <c r="C109" s="37"/>
      <c r="D109" s="34"/>
    </row>
    <row r="110" spans="1:4" ht="15" hidden="1">
      <c r="A110" s="27"/>
      <c r="B110" s="41" t="s">
        <v>162</v>
      </c>
      <c r="C110" s="37"/>
      <c r="D110" s="34"/>
    </row>
    <row r="111" spans="1:4" ht="15" hidden="1">
      <c r="A111" s="27" t="s">
        <v>7</v>
      </c>
      <c r="B111" s="42" t="s">
        <v>163</v>
      </c>
      <c r="C111" s="37"/>
      <c r="D111" s="34"/>
    </row>
    <row r="112" spans="1:4" ht="15" hidden="1">
      <c r="A112" s="43" t="s">
        <v>7</v>
      </c>
      <c r="B112" s="44" t="s">
        <v>185</v>
      </c>
      <c r="C112" s="45"/>
      <c r="D112" s="73"/>
    </row>
    <row r="113" spans="1:4" ht="60" hidden="1">
      <c r="A113" s="27">
        <f>SUM(A107)+1</f>
        <v>6</v>
      </c>
      <c r="B113" s="47" t="s">
        <v>164</v>
      </c>
      <c r="C113" s="48"/>
      <c r="D113" s="34">
        <f>D114+D115+D116+D117+D124+D125+D136</f>
        <v>294996.37</v>
      </c>
    </row>
    <row r="114" spans="1:4" ht="45" hidden="1">
      <c r="A114" s="49" t="s">
        <v>7</v>
      </c>
      <c r="B114" s="50" t="s">
        <v>165</v>
      </c>
      <c r="C114" s="51"/>
      <c r="D114" s="52">
        <v>138332</v>
      </c>
    </row>
    <row r="115" spans="1:4" ht="15" hidden="1">
      <c r="A115" s="53" t="s">
        <v>7</v>
      </c>
      <c r="B115" s="54" t="s">
        <v>166</v>
      </c>
      <c r="C115" s="37"/>
      <c r="D115" s="34">
        <v>42745</v>
      </c>
    </row>
    <row r="116" spans="1:4" ht="15" hidden="1">
      <c r="A116" s="53" t="s">
        <v>7</v>
      </c>
      <c r="B116" s="54" t="s">
        <v>167</v>
      </c>
      <c r="C116" s="37"/>
      <c r="D116" s="34">
        <v>10941.57</v>
      </c>
    </row>
    <row r="117" spans="1:4" ht="15" hidden="1">
      <c r="A117" s="53" t="s">
        <v>7</v>
      </c>
      <c r="B117" s="54" t="s">
        <v>168</v>
      </c>
      <c r="C117" s="37"/>
      <c r="D117" s="34">
        <f>SUM(D118:D123)</f>
        <v>1544</v>
      </c>
    </row>
    <row r="118" spans="1:4" ht="15" hidden="1">
      <c r="A118" s="53"/>
      <c r="B118" s="54" t="s">
        <v>207</v>
      </c>
      <c r="C118" s="37"/>
      <c r="D118" s="34">
        <v>1544</v>
      </c>
    </row>
    <row r="119" spans="1:4" ht="15" hidden="1">
      <c r="A119" s="53"/>
      <c r="B119" s="54"/>
      <c r="C119" s="37"/>
      <c r="D119" s="34"/>
    </row>
    <row r="120" spans="1:4" ht="15" hidden="1">
      <c r="A120" s="53"/>
      <c r="B120" s="54"/>
      <c r="C120" s="37"/>
      <c r="D120" s="34"/>
    </row>
    <row r="121" spans="1:4" ht="15" hidden="1">
      <c r="A121" s="53"/>
      <c r="B121" s="54"/>
      <c r="C121" s="37"/>
      <c r="D121" s="34"/>
    </row>
    <row r="122" spans="1:4" ht="15" hidden="1">
      <c r="A122" s="53"/>
      <c r="B122" s="54"/>
      <c r="C122" s="37"/>
      <c r="D122" s="34"/>
    </row>
    <row r="123" spans="1:4" ht="15" hidden="1">
      <c r="A123" s="53"/>
      <c r="B123" s="54"/>
      <c r="C123" s="37"/>
      <c r="D123" s="34"/>
    </row>
    <row r="124" spans="1:4" ht="15" hidden="1">
      <c r="A124" s="53" t="s">
        <v>7</v>
      </c>
      <c r="B124" s="54" t="s">
        <v>169</v>
      </c>
      <c r="C124" s="37"/>
      <c r="D124" s="34">
        <v>29341</v>
      </c>
    </row>
    <row r="125" spans="1:4" ht="15" hidden="1">
      <c r="A125" s="53" t="s">
        <v>7</v>
      </c>
      <c r="B125" s="54" t="s">
        <v>170</v>
      </c>
      <c r="C125" s="37"/>
      <c r="D125" s="34">
        <f>SUM(D126:D135)</f>
        <v>55019.799999999996</v>
      </c>
    </row>
    <row r="126" spans="1:4" ht="15" hidden="1">
      <c r="A126" s="53"/>
      <c r="B126" s="54" t="s">
        <v>186</v>
      </c>
      <c r="C126" s="37"/>
      <c r="D126" s="34">
        <v>21098</v>
      </c>
    </row>
    <row r="127" spans="1:6" ht="15" hidden="1">
      <c r="A127" s="53"/>
      <c r="B127" s="54" t="s">
        <v>215</v>
      </c>
      <c r="C127" s="37"/>
      <c r="D127" s="34">
        <v>24360.26</v>
      </c>
      <c r="F127" s="54"/>
    </row>
    <row r="128" spans="1:4" ht="15" hidden="1">
      <c r="A128" s="53"/>
      <c r="B128" s="54" t="s">
        <v>216</v>
      </c>
      <c r="C128" s="37"/>
      <c r="D128" s="34">
        <v>9561.54</v>
      </c>
    </row>
    <row r="129" spans="1:4" ht="15" hidden="1">
      <c r="A129" s="53"/>
      <c r="B129" s="54"/>
      <c r="C129" s="37"/>
      <c r="D129" s="34"/>
    </row>
    <row r="130" spans="1:4" ht="15" hidden="1">
      <c r="A130" s="53"/>
      <c r="B130" s="54"/>
      <c r="C130" s="37"/>
      <c r="D130" s="34"/>
    </row>
    <row r="131" spans="1:4" ht="15" hidden="1">
      <c r="A131" s="53"/>
      <c r="B131" s="54"/>
      <c r="C131" s="37"/>
      <c r="D131" s="34"/>
    </row>
    <row r="132" spans="1:4" ht="15" hidden="1">
      <c r="A132" s="53"/>
      <c r="B132" s="54"/>
      <c r="C132" s="37"/>
      <c r="D132" s="34"/>
    </row>
    <row r="133" spans="1:4" ht="15" hidden="1">
      <c r="A133" s="53"/>
      <c r="B133" s="54"/>
      <c r="C133" s="37"/>
      <c r="D133" s="34"/>
    </row>
    <row r="134" spans="1:4" ht="15" hidden="1">
      <c r="A134" s="53"/>
      <c r="B134" s="54"/>
      <c r="C134" s="37"/>
      <c r="D134" s="34"/>
    </row>
    <row r="135" spans="1:4" ht="15" hidden="1">
      <c r="A135" s="53"/>
      <c r="B135" s="54"/>
      <c r="C135" s="37"/>
      <c r="D135" s="34"/>
    </row>
    <row r="136" spans="1:4" ht="15" hidden="1">
      <c r="A136" s="53" t="s">
        <v>7</v>
      </c>
      <c r="B136" s="55" t="s">
        <v>171</v>
      </c>
      <c r="C136" s="37"/>
      <c r="D136" s="34">
        <f>SUM(D137:D141)</f>
        <v>17073</v>
      </c>
    </row>
    <row r="137" spans="1:4" ht="15" hidden="1">
      <c r="A137" s="53"/>
      <c r="B137" s="56" t="s">
        <v>172</v>
      </c>
      <c r="C137" s="37"/>
      <c r="D137" s="34">
        <v>2115</v>
      </c>
    </row>
    <row r="138" spans="1:4" ht="15" hidden="1">
      <c r="A138" s="53"/>
      <c r="B138" s="56" t="s">
        <v>173</v>
      </c>
      <c r="C138" s="37"/>
      <c r="D138" s="34">
        <v>6377</v>
      </c>
    </row>
    <row r="139" spans="1:4" ht="15" hidden="1">
      <c r="A139" s="53"/>
      <c r="B139" s="56" t="s">
        <v>174</v>
      </c>
      <c r="C139" s="37"/>
      <c r="D139" s="34">
        <v>3674</v>
      </c>
    </row>
    <row r="140" spans="1:4" ht="15" hidden="1">
      <c r="A140" s="53"/>
      <c r="B140" s="56" t="s">
        <v>175</v>
      </c>
      <c r="C140" s="37"/>
      <c r="D140" s="34">
        <v>1365</v>
      </c>
    </row>
    <row r="141" spans="1:4" ht="15" hidden="1">
      <c r="A141" s="53"/>
      <c r="B141" s="56" t="s">
        <v>176</v>
      </c>
      <c r="C141" s="37"/>
      <c r="D141" s="34">
        <v>3542</v>
      </c>
    </row>
    <row r="142" spans="1:4" ht="15" hidden="1">
      <c r="A142" s="27">
        <v>7</v>
      </c>
      <c r="B142" s="32" t="s">
        <v>177</v>
      </c>
      <c r="C142" s="57"/>
      <c r="D142" s="58"/>
    </row>
    <row r="143" spans="1:4" ht="15" hidden="1">
      <c r="A143" s="27">
        <f>SUM(A142)+1</f>
        <v>8</v>
      </c>
      <c r="B143" s="32" t="s">
        <v>178</v>
      </c>
      <c r="C143" s="57"/>
      <c r="D143" s="34">
        <v>45343.84</v>
      </c>
    </row>
    <row r="144" spans="1:4" ht="15" hidden="1">
      <c r="A144" s="27">
        <f>SUM(A143)+1</f>
        <v>9</v>
      </c>
      <c r="B144" s="32" t="s">
        <v>179</v>
      </c>
      <c r="C144" s="37"/>
      <c r="D144" s="34">
        <v>185506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2017.26</v>
      </c>
    </row>
    <row r="146" spans="1:4" ht="15" hidden="1">
      <c r="A146" s="27">
        <v>11</v>
      </c>
      <c r="B146" s="32" t="s">
        <v>181</v>
      </c>
      <c r="C146" s="33"/>
      <c r="D146" s="34">
        <f>D147+11864+95324+127426</f>
        <v>348794.5158</v>
      </c>
    </row>
    <row r="147" spans="1:4" ht="30" hidden="1">
      <c r="A147" s="28" t="s">
        <v>182</v>
      </c>
      <c r="B147" s="59" t="s">
        <v>183</v>
      </c>
      <c r="C147" s="60"/>
      <c r="D147" s="64">
        <f>100*78.5*12+(1204415.86+793635.72)*0.01</f>
        <v>114180.5158</v>
      </c>
    </row>
    <row r="148" spans="1:4" ht="30" hidden="1">
      <c r="A148" s="61">
        <v>12</v>
      </c>
      <c r="B148" s="62" t="s">
        <v>184</v>
      </c>
      <c r="C148" s="33"/>
      <c r="D148" s="34">
        <v>8254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58">
      <selection activeCell="B88" sqref="B88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8.28125" style="1" customWidth="1"/>
    <col min="4" max="4" width="25.7109375" style="66" customWidth="1"/>
    <col min="5" max="16384" width="9.140625" style="1" customWidth="1"/>
  </cols>
  <sheetData>
    <row r="1" spans="1:4" ht="16.5" customHeight="1">
      <c r="A1" s="102" t="s">
        <v>0</v>
      </c>
      <c r="B1" s="102"/>
      <c r="C1" s="102"/>
      <c r="D1" s="102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7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87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87">
        <v>42369</v>
      </c>
    </row>
    <row r="7" spans="1:4" s="9" customFormat="1" ht="29.25" customHeight="1">
      <c r="A7" s="103" t="s">
        <v>13</v>
      </c>
      <c r="B7" s="103"/>
      <c r="C7" s="103"/>
      <c r="D7" s="103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8">
        <f>194041.77+81497.7</f>
        <v>275539.47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8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8">
        <f>D8</f>
        <v>275539.47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f>1633436.52+400589.46</f>
        <v>2034025.98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f>D16</f>
        <v>2152243.05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1683078.58+469164.47</f>
        <v>2152243.05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2152243.05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157322.40000000037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144399.71+12922.69</f>
        <v>157322.4</v>
      </c>
    </row>
    <row r="25" spans="1:4" s="9" customFormat="1" ht="29.25" customHeight="1">
      <c r="A25" s="101" t="s">
        <v>49</v>
      </c>
      <c r="B25" s="101"/>
      <c r="C25" s="101"/>
      <c r="D25" s="101"/>
    </row>
    <row r="26" spans="1:4" s="9" customFormat="1" ht="16.5" customHeight="1">
      <c r="A26" s="6"/>
      <c r="B26" s="7" t="s">
        <v>50</v>
      </c>
      <c r="C26" s="18"/>
      <c r="D26" s="69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68.25" customHeight="1">
      <c r="A31" s="19" t="s">
        <v>59</v>
      </c>
      <c r="B31" s="16" t="s">
        <v>52</v>
      </c>
      <c r="C31" s="8" t="s">
        <v>7</v>
      </c>
      <c r="D31" s="70" t="s">
        <v>236</v>
      </c>
    </row>
    <row r="32" spans="1:4" s="9" customFormat="1" ht="76.5">
      <c r="A32" s="19" t="s">
        <v>60</v>
      </c>
      <c r="B32" s="16" t="s">
        <v>55</v>
      </c>
      <c r="C32" s="8" t="s">
        <v>7</v>
      </c>
      <c r="D32" s="70" t="s">
        <v>261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70" t="s">
        <v>231</v>
      </c>
    </row>
    <row r="34" spans="1:4" s="9" customFormat="1" ht="16.5" customHeight="1">
      <c r="A34" s="101" t="s">
        <v>62</v>
      </c>
      <c r="B34" s="101"/>
      <c r="C34" s="101"/>
      <c r="D34" s="101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01" t="s">
        <v>72</v>
      </c>
      <c r="B39" s="101"/>
      <c r="C39" s="101"/>
      <c r="D39" s="101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0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v>0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v>79928.57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D52+D72+D82</f>
        <v>79928.57</v>
      </c>
    </row>
    <row r="46" spans="1:4" s="9" customFormat="1" ht="15" customHeight="1">
      <c r="A46" s="101" t="s">
        <v>81</v>
      </c>
      <c r="B46" s="101"/>
      <c r="C46" s="101"/>
      <c r="D46" s="101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71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D50/28.07</f>
        <v>7317.679016743855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205407.25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191321.41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14085.84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205407.25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249560.48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-11080.28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14.25" customHeight="1">
      <c r="A57" s="6" t="s">
        <v>82</v>
      </c>
      <c r="B57" s="16" t="s">
        <v>83</v>
      </c>
      <c r="C57" s="8" t="s">
        <v>7</v>
      </c>
      <c r="D57" s="71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71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</f>
        <v>7317.679016743855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112693.67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104965.68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7727.99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112693.67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149667.06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-6645.09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71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D80/1734.01</f>
        <v>488.7284617735769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v>847460.04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789345.3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v>58114.74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f>D80</f>
        <v>847460.04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863790.24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40257.28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101" t="s">
        <v>138</v>
      </c>
      <c r="B87" s="101"/>
      <c r="C87" s="101"/>
      <c r="D87" s="101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01" t="s">
        <v>143</v>
      </c>
      <c r="B92" s="101"/>
      <c r="C92" s="101"/>
      <c r="D92" s="101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88">
        <v>12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88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62000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72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1784227.8597</v>
      </c>
    </row>
    <row r="103" spans="1:4" ht="15" hidden="1">
      <c r="A103" s="27">
        <v>1</v>
      </c>
      <c r="B103" s="32" t="s">
        <v>155</v>
      </c>
      <c r="C103" s="33"/>
      <c r="D103" s="34">
        <v>214660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114436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46707.35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0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0</v>
      </c>
    </row>
    <row r="108" spans="1:4" ht="15" hidden="1">
      <c r="A108" s="27" t="s">
        <v>7</v>
      </c>
      <c r="B108" s="40" t="s">
        <v>160</v>
      </c>
      <c r="C108" s="37"/>
      <c r="D108" s="34"/>
    </row>
    <row r="109" spans="1:4" ht="15" hidden="1">
      <c r="A109" s="27"/>
      <c r="B109" s="41" t="s">
        <v>161</v>
      </c>
      <c r="C109" s="37"/>
      <c r="D109" s="34"/>
    </row>
    <row r="110" spans="1:4" ht="15" hidden="1">
      <c r="A110" s="27"/>
      <c r="B110" s="41" t="s">
        <v>162</v>
      </c>
      <c r="C110" s="37"/>
      <c r="D110" s="34"/>
    </row>
    <row r="111" spans="1:4" ht="15" hidden="1">
      <c r="A111" s="27" t="s">
        <v>7</v>
      </c>
      <c r="B111" s="42" t="s">
        <v>163</v>
      </c>
      <c r="C111" s="37"/>
      <c r="D111" s="34"/>
    </row>
    <row r="112" spans="1:4" ht="15" hidden="1">
      <c r="A112" s="43" t="s">
        <v>7</v>
      </c>
      <c r="B112" s="44" t="s">
        <v>185</v>
      </c>
      <c r="C112" s="45"/>
      <c r="D112" s="73"/>
    </row>
    <row r="113" spans="1:4" ht="60" hidden="1">
      <c r="A113" s="27">
        <f>SUM(A107)+1</f>
        <v>6</v>
      </c>
      <c r="B113" s="47" t="s">
        <v>164</v>
      </c>
      <c r="C113" s="48"/>
      <c r="D113" s="34">
        <f>D114+D115+D116+D117+D124+D125+D136</f>
        <v>529937.85</v>
      </c>
    </row>
    <row r="114" spans="1:4" ht="45" hidden="1">
      <c r="A114" s="49" t="s">
        <v>7</v>
      </c>
      <c r="B114" s="50" t="s">
        <v>165</v>
      </c>
      <c r="C114" s="51"/>
      <c r="D114" s="52">
        <v>216634</v>
      </c>
    </row>
    <row r="115" spans="1:4" ht="15" hidden="1">
      <c r="A115" s="53" t="s">
        <v>7</v>
      </c>
      <c r="B115" s="54" t="s">
        <v>166</v>
      </c>
      <c r="C115" s="37"/>
      <c r="D115" s="34">
        <v>67558</v>
      </c>
    </row>
    <row r="116" spans="1:4" ht="15" hidden="1">
      <c r="A116" s="53" t="s">
        <v>7</v>
      </c>
      <c r="B116" s="54" t="s">
        <v>167</v>
      </c>
      <c r="C116" s="37"/>
      <c r="D116" s="34">
        <v>12992.45</v>
      </c>
    </row>
    <row r="117" spans="1:4" ht="15" hidden="1">
      <c r="A117" s="53" t="s">
        <v>7</v>
      </c>
      <c r="B117" s="54" t="s">
        <v>168</v>
      </c>
      <c r="C117" s="37"/>
      <c r="D117" s="34">
        <f>SUM(D118:D123)</f>
        <v>2442</v>
      </c>
    </row>
    <row r="118" spans="1:4" ht="15" hidden="1">
      <c r="A118" s="53"/>
      <c r="B118" s="54" t="s">
        <v>207</v>
      </c>
      <c r="C118" s="37"/>
      <c r="D118" s="34">
        <v>2442</v>
      </c>
    </row>
    <row r="119" spans="1:4" ht="15" hidden="1">
      <c r="A119" s="53"/>
      <c r="B119" s="54"/>
      <c r="C119" s="37"/>
      <c r="D119" s="34"/>
    </row>
    <row r="120" spans="1:4" ht="15" hidden="1">
      <c r="A120" s="53"/>
      <c r="B120" s="54"/>
      <c r="C120" s="37"/>
      <c r="D120" s="34"/>
    </row>
    <row r="121" spans="1:4" ht="15" hidden="1">
      <c r="A121" s="53"/>
      <c r="B121" s="54"/>
      <c r="C121" s="37"/>
      <c r="D121" s="34"/>
    </row>
    <row r="122" spans="1:4" ht="15" hidden="1">
      <c r="A122" s="53"/>
      <c r="B122" s="54"/>
      <c r="C122" s="37"/>
      <c r="D122" s="34"/>
    </row>
    <row r="123" spans="1:4" ht="15" hidden="1">
      <c r="A123" s="53"/>
      <c r="B123" s="54"/>
      <c r="C123" s="37"/>
      <c r="D123" s="34"/>
    </row>
    <row r="124" spans="1:4" ht="15" hidden="1">
      <c r="A124" s="53" t="s">
        <v>7</v>
      </c>
      <c r="B124" s="54" t="s">
        <v>169</v>
      </c>
      <c r="C124" s="37"/>
      <c r="D124" s="34">
        <v>46389</v>
      </c>
    </row>
    <row r="125" spans="1:4" ht="15" hidden="1">
      <c r="A125" s="53" t="s">
        <v>7</v>
      </c>
      <c r="B125" s="54" t="s">
        <v>170</v>
      </c>
      <c r="C125" s="37"/>
      <c r="D125" s="34">
        <f>SUM(D126:D135)</f>
        <v>156927.4</v>
      </c>
    </row>
    <row r="126" spans="1:4" ht="15" hidden="1">
      <c r="A126" s="53"/>
      <c r="B126" s="54" t="s">
        <v>186</v>
      </c>
      <c r="C126" s="37"/>
      <c r="D126" s="34">
        <v>43939</v>
      </c>
    </row>
    <row r="127" spans="1:4" ht="15" hidden="1">
      <c r="A127" s="53"/>
      <c r="B127" s="54" t="s">
        <v>216</v>
      </c>
      <c r="C127" s="37"/>
      <c r="D127" s="34">
        <v>21215.67</v>
      </c>
    </row>
    <row r="128" spans="1:4" ht="15" hidden="1">
      <c r="A128" s="53"/>
      <c r="B128" s="54" t="s">
        <v>217</v>
      </c>
      <c r="C128" s="37"/>
      <c r="D128" s="34">
        <v>15976.22</v>
      </c>
    </row>
    <row r="129" spans="1:4" ht="15" hidden="1">
      <c r="A129" s="53"/>
      <c r="B129" s="54" t="s">
        <v>218</v>
      </c>
      <c r="C129" s="37"/>
      <c r="D129" s="34">
        <v>75796.51</v>
      </c>
    </row>
    <row r="130" spans="1:4" ht="15" hidden="1">
      <c r="A130" s="53"/>
      <c r="B130" s="54"/>
      <c r="C130" s="37"/>
      <c r="D130" s="34"/>
    </row>
    <row r="131" spans="1:4" ht="15" hidden="1">
      <c r="A131" s="53"/>
      <c r="B131" s="54"/>
      <c r="C131" s="37"/>
      <c r="D131" s="34"/>
    </row>
    <row r="132" spans="1:4" ht="15" hidden="1">
      <c r="A132" s="53"/>
      <c r="B132" s="54"/>
      <c r="C132" s="37"/>
      <c r="D132" s="34"/>
    </row>
    <row r="133" spans="1:4" ht="15" hidden="1">
      <c r="A133" s="53"/>
      <c r="B133" s="54"/>
      <c r="C133" s="37"/>
      <c r="D133" s="34"/>
    </row>
    <row r="134" spans="1:4" ht="15" hidden="1">
      <c r="A134" s="53"/>
      <c r="B134" s="54"/>
      <c r="C134" s="37"/>
      <c r="D134" s="34"/>
    </row>
    <row r="135" spans="1:4" ht="15" hidden="1">
      <c r="A135" s="53"/>
      <c r="B135" s="54"/>
      <c r="C135" s="37"/>
      <c r="D135" s="34"/>
    </row>
    <row r="136" spans="1:4" ht="15" hidden="1">
      <c r="A136" s="53" t="s">
        <v>7</v>
      </c>
      <c r="B136" s="55" t="s">
        <v>171</v>
      </c>
      <c r="C136" s="37"/>
      <c r="D136" s="34">
        <f>SUM(D137:D141)</f>
        <v>26995</v>
      </c>
    </row>
    <row r="137" spans="1:4" ht="15" hidden="1">
      <c r="A137" s="53"/>
      <c r="B137" s="56" t="s">
        <v>172</v>
      </c>
      <c r="C137" s="37"/>
      <c r="D137" s="34">
        <v>3345</v>
      </c>
    </row>
    <row r="138" spans="1:4" ht="15" hidden="1">
      <c r="A138" s="53"/>
      <c r="B138" s="56" t="s">
        <v>173</v>
      </c>
      <c r="C138" s="37"/>
      <c r="D138" s="34">
        <v>10083</v>
      </c>
    </row>
    <row r="139" spans="1:4" ht="15" hidden="1">
      <c r="A139" s="53"/>
      <c r="B139" s="56" t="s">
        <v>174</v>
      </c>
      <c r="C139" s="37"/>
      <c r="D139" s="34">
        <v>5809</v>
      </c>
    </row>
    <row r="140" spans="1:4" ht="15" hidden="1">
      <c r="A140" s="53"/>
      <c r="B140" s="56" t="s">
        <v>175</v>
      </c>
      <c r="C140" s="37"/>
      <c r="D140" s="34">
        <v>2159</v>
      </c>
    </row>
    <row r="141" spans="1:4" ht="15" hidden="1">
      <c r="A141" s="53"/>
      <c r="B141" s="56" t="s">
        <v>176</v>
      </c>
      <c r="C141" s="37"/>
      <c r="D141" s="34">
        <v>5599</v>
      </c>
    </row>
    <row r="142" spans="1:4" ht="15" hidden="1">
      <c r="A142" s="27">
        <v>7</v>
      </c>
      <c r="B142" s="32" t="s">
        <v>177</v>
      </c>
      <c r="C142" s="57"/>
      <c r="D142" s="34">
        <v>51244.7</v>
      </c>
    </row>
    <row r="143" spans="1:4" ht="15" hidden="1">
      <c r="A143" s="27">
        <f>SUM(A142)+1</f>
        <v>8</v>
      </c>
      <c r="B143" s="32" t="s">
        <v>178</v>
      </c>
      <c r="C143" s="57"/>
      <c r="D143" s="34">
        <v>38518.26</v>
      </c>
    </row>
    <row r="144" spans="1:4" ht="15" hidden="1">
      <c r="A144" s="27">
        <f>SUM(A143)+1</f>
        <v>9</v>
      </c>
      <c r="B144" s="32" t="s">
        <v>179</v>
      </c>
      <c r="C144" s="37"/>
      <c r="D144" s="34">
        <v>293295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858.59</v>
      </c>
    </row>
    <row r="146" spans="1:4" ht="15" hidden="1">
      <c r="A146" s="27">
        <v>11</v>
      </c>
      <c r="B146" s="32" t="s">
        <v>181</v>
      </c>
      <c r="C146" s="33"/>
      <c r="D146" s="34">
        <f>D147+18758+150712+201467</f>
        <v>481520.10970000003</v>
      </c>
    </row>
    <row r="147" spans="1:4" ht="30" hidden="1">
      <c r="A147" s="28" t="s">
        <v>182</v>
      </c>
      <c r="B147" s="59" t="s">
        <v>183</v>
      </c>
      <c r="C147" s="60"/>
      <c r="D147" s="64">
        <f>88*78.5*12+(1683078.58+1085632.39)*0.01</f>
        <v>110583.1097</v>
      </c>
    </row>
    <row r="148" spans="1:4" ht="30" hidden="1">
      <c r="A148" s="61">
        <v>12</v>
      </c>
      <c r="B148" s="62" t="s">
        <v>184</v>
      </c>
      <c r="C148" s="33"/>
      <c r="D148" s="34">
        <v>13050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10" workbookViewId="0" topLeftCell="A49">
      <selection activeCell="B74" sqref="B74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9.28125" style="1" customWidth="1"/>
    <col min="4" max="4" width="24.421875" style="66" customWidth="1"/>
    <col min="5" max="16384" width="9.140625" style="1" customWidth="1"/>
  </cols>
  <sheetData>
    <row r="1" spans="1:4" ht="16.5" customHeight="1">
      <c r="A1" s="102" t="s">
        <v>0</v>
      </c>
      <c r="B1" s="102"/>
      <c r="C1" s="102"/>
      <c r="D1" s="102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7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87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87">
        <v>42369</v>
      </c>
    </row>
    <row r="7" spans="1:4" s="9" customFormat="1" ht="29.25" customHeight="1">
      <c r="A7" s="103" t="s">
        <v>13</v>
      </c>
      <c r="B7" s="103"/>
      <c r="C7" s="103"/>
      <c r="D7" s="103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8">
        <f>39170.32+411119.12</f>
        <v>450289.44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8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8">
        <f>D8</f>
        <v>450289.44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f>1621929.66+411721.86</f>
        <v>2033651.52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f>D16</f>
        <v>2021190.02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1586938.5+434251.52</f>
        <v>2021190.02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20.25" customHeight="1">
      <c r="A21" s="6" t="s">
        <v>41</v>
      </c>
      <c r="B21" s="16" t="s">
        <v>42</v>
      </c>
      <c r="C21" s="8" t="s">
        <v>16</v>
      </c>
      <c r="D21" s="17">
        <f>D15</f>
        <v>2021190.02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462750.93999999994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16640.66+446110.28</f>
        <v>462750.94</v>
      </c>
    </row>
    <row r="25" spans="1:4" s="9" customFormat="1" ht="29.25" customHeight="1">
      <c r="A25" s="101" t="s">
        <v>49</v>
      </c>
      <c r="B25" s="101"/>
      <c r="C25" s="101"/>
      <c r="D25" s="101"/>
    </row>
    <row r="26" spans="1:4" s="9" customFormat="1" ht="16.5" customHeight="1">
      <c r="A26" s="6"/>
      <c r="B26" s="7" t="s">
        <v>50</v>
      </c>
      <c r="C26" s="18"/>
      <c r="D26" s="69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91"/>
    </row>
    <row r="31" spans="1:4" s="9" customFormat="1" ht="76.5" customHeight="1">
      <c r="A31" s="19" t="s">
        <v>59</v>
      </c>
      <c r="B31" s="16" t="s">
        <v>52</v>
      </c>
      <c r="C31" s="83" t="s">
        <v>7</v>
      </c>
      <c r="D31" s="93" t="s">
        <v>237</v>
      </c>
    </row>
    <row r="32" spans="1:4" s="9" customFormat="1" ht="51">
      <c r="A32" s="19" t="s">
        <v>60</v>
      </c>
      <c r="B32" s="16" t="s">
        <v>55</v>
      </c>
      <c r="C32" s="8" t="s">
        <v>7</v>
      </c>
      <c r="D32" s="92" t="s">
        <v>257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70" t="s">
        <v>231</v>
      </c>
    </row>
    <row r="34" spans="1:4" s="9" customFormat="1" ht="16.5" customHeight="1">
      <c r="A34" s="101" t="s">
        <v>62</v>
      </c>
      <c r="B34" s="101"/>
      <c r="C34" s="101"/>
      <c r="D34" s="101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01" t="s">
        <v>72</v>
      </c>
      <c r="B39" s="101"/>
      <c r="C39" s="101"/>
      <c r="D39" s="101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310614.92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310614.92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D52+D72+D82</f>
        <v>431826.53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/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D52+D72+D82</f>
        <v>431826.53</v>
      </c>
    </row>
    <row r="46" spans="1:4" s="9" customFormat="1" ht="15" customHeight="1">
      <c r="A46" s="101" t="s">
        <v>81</v>
      </c>
      <c r="B46" s="101"/>
      <c r="C46" s="101"/>
      <c r="D46" s="101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71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13979.622571692877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377799.3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356937.23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74322.86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377799.3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459008.99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-20379.62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7.75" customHeight="1">
      <c r="A57" s="6" t="s">
        <v>82</v>
      </c>
      <c r="B57" s="16" t="s">
        <v>83</v>
      </c>
      <c r="C57" s="8" t="s">
        <v>7</v>
      </c>
      <c r="D57" s="71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71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</f>
        <v>13979.622571692877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205333.69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193995.17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40394.43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205333.69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272701.12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-12107.7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71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D80/1673.36</f>
        <v>963.29265669073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v>1611935.4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1522924.38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v>317109.24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f>D80</f>
        <v>1611935.4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1642996.73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76572.5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101" t="s">
        <v>138</v>
      </c>
      <c r="B87" s="101"/>
      <c r="C87" s="101"/>
      <c r="D87" s="101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01" t="s">
        <v>143</v>
      </c>
      <c r="B92" s="101"/>
      <c r="C92" s="101"/>
      <c r="D92" s="101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88">
        <v>9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88">
        <v>1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47853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72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1772814.0728000002</v>
      </c>
    </row>
    <row r="103" spans="1:4" ht="15" hidden="1">
      <c r="A103" s="27">
        <v>1</v>
      </c>
      <c r="B103" s="32" t="s">
        <v>155</v>
      </c>
      <c r="C103" s="33"/>
      <c r="D103" s="34">
        <v>211547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112776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25740.25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0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0</v>
      </c>
    </row>
    <row r="108" spans="1:4" ht="15" hidden="1">
      <c r="A108" s="27" t="s">
        <v>7</v>
      </c>
      <c r="B108" s="40" t="s">
        <v>160</v>
      </c>
      <c r="C108" s="37"/>
      <c r="D108" s="34"/>
    </row>
    <row r="109" spans="1:4" ht="15" hidden="1">
      <c r="A109" s="27"/>
      <c r="B109" s="41" t="s">
        <v>161</v>
      </c>
      <c r="C109" s="37"/>
      <c r="D109" s="34"/>
    </row>
    <row r="110" spans="1:4" ht="15" hidden="1">
      <c r="A110" s="27"/>
      <c r="B110" s="41" t="s">
        <v>162</v>
      </c>
      <c r="C110" s="37"/>
      <c r="D110" s="34"/>
    </row>
    <row r="111" spans="1:4" ht="15" hidden="1">
      <c r="A111" s="27" t="s">
        <v>7</v>
      </c>
      <c r="B111" s="42" t="s">
        <v>163</v>
      </c>
      <c r="C111" s="37"/>
      <c r="D111" s="34"/>
    </row>
    <row r="112" spans="1:4" ht="15" hidden="1">
      <c r="A112" s="43" t="s">
        <v>7</v>
      </c>
      <c r="B112" s="44" t="s">
        <v>185</v>
      </c>
      <c r="C112" s="45"/>
      <c r="D112" s="73"/>
    </row>
    <row r="113" spans="1:4" ht="60" hidden="1">
      <c r="A113" s="27">
        <f>SUM(A107)+1</f>
        <v>6</v>
      </c>
      <c r="B113" s="47" t="s">
        <v>164</v>
      </c>
      <c r="C113" s="48"/>
      <c r="D113" s="34">
        <f>D114+D115+D116+D117+D124+D125+D136</f>
        <v>588798.16</v>
      </c>
    </row>
    <row r="114" spans="1:4" ht="45" hidden="1">
      <c r="A114" s="49" t="s">
        <v>7</v>
      </c>
      <c r="B114" s="50" t="s">
        <v>165</v>
      </c>
      <c r="C114" s="51"/>
      <c r="D114" s="52">
        <v>221154</v>
      </c>
    </row>
    <row r="115" spans="1:4" ht="15" hidden="1">
      <c r="A115" s="53" t="s">
        <v>7</v>
      </c>
      <c r="B115" s="54" t="s">
        <v>166</v>
      </c>
      <c r="C115" s="37"/>
      <c r="D115" s="34">
        <v>68337</v>
      </c>
    </row>
    <row r="116" spans="1:4" ht="15" hidden="1">
      <c r="A116" s="53" t="s">
        <v>7</v>
      </c>
      <c r="B116" s="54" t="s">
        <v>167</v>
      </c>
      <c r="C116" s="37"/>
      <c r="D116" s="34">
        <v>11643.78</v>
      </c>
    </row>
    <row r="117" spans="1:4" ht="15" hidden="1">
      <c r="A117" s="53" t="s">
        <v>7</v>
      </c>
      <c r="B117" s="54" t="s">
        <v>168</v>
      </c>
      <c r="C117" s="37"/>
      <c r="D117" s="34">
        <f>SUM(D118:D123)</f>
        <v>2423</v>
      </c>
    </row>
    <row r="118" spans="1:4" ht="15" hidden="1">
      <c r="A118" s="53"/>
      <c r="B118" s="54" t="s">
        <v>207</v>
      </c>
      <c r="C118" s="37"/>
      <c r="D118" s="34">
        <v>2423</v>
      </c>
    </row>
    <row r="119" spans="1:4" ht="15" hidden="1">
      <c r="A119" s="53"/>
      <c r="B119" s="54"/>
      <c r="C119" s="37"/>
      <c r="D119" s="34"/>
    </row>
    <row r="120" spans="1:4" ht="15" hidden="1">
      <c r="A120" s="53"/>
      <c r="B120" s="54"/>
      <c r="C120" s="37"/>
      <c r="D120" s="34"/>
    </row>
    <row r="121" spans="1:4" ht="15" hidden="1">
      <c r="A121" s="53"/>
      <c r="B121" s="54"/>
      <c r="C121" s="37"/>
      <c r="D121" s="34"/>
    </row>
    <row r="122" spans="1:4" ht="15" hidden="1">
      <c r="A122" s="53"/>
      <c r="B122" s="54"/>
      <c r="C122" s="37"/>
      <c r="D122" s="34"/>
    </row>
    <row r="123" spans="1:4" ht="15" hidden="1">
      <c r="A123" s="53"/>
      <c r="B123" s="54"/>
      <c r="C123" s="37"/>
      <c r="D123" s="34"/>
    </row>
    <row r="124" spans="1:4" ht="15" hidden="1">
      <c r="A124" s="53" t="s">
        <v>7</v>
      </c>
      <c r="B124" s="54" t="s">
        <v>169</v>
      </c>
      <c r="C124" s="37"/>
      <c r="D124" s="34">
        <v>46032</v>
      </c>
    </row>
    <row r="125" spans="1:4" ht="15" hidden="1">
      <c r="A125" s="53" t="s">
        <v>7</v>
      </c>
      <c r="B125" s="54" t="s">
        <v>170</v>
      </c>
      <c r="C125" s="37"/>
      <c r="D125" s="34">
        <f>SUM(D126:D135)</f>
        <v>212422.37999999998</v>
      </c>
    </row>
    <row r="126" spans="1:4" ht="15" hidden="1">
      <c r="A126" s="53"/>
      <c r="B126" s="54" t="s">
        <v>219</v>
      </c>
      <c r="C126" s="37"/>
      <c r="D126" s="34">
        <v>7303.74</v>
      </c>
    </row>
    <row r="127" spans="1:4" ht="15" hidden="1">
      <c r="A127" s="53"/>
      <c r="B127" s="54" t="s">
        <v>209</v>
      </c>
      <c r="C127" s="37"/>
      <c r="D127" s="34">
        <v>175531.86</v>
      </c>
    </row>
    <row r="128" spans="1:4" ht="15" hidden="1">
      <c r="A128" s="53"/>
      <c r="B128" s="54" t="s">
        <v>219</v>
      </c>
      <c r="C128" s="37"/>
      <c r="D128" s="34">
        <v>29586.78</v>
      </c>
    </row>
    <row r="129" spans="1:4" ht="15" hidden="1">
      <c r="A129" s="53"/>
      <c r="B129" s="54"/>
      <c r="C129" s="37"/>
      <c r="D129" s="34"/>
    </row>
    <row r="130" spans="1:4" ht="15" hidden="1">
      <c r="A130" s="53"/>
      <c r="B130" s="54"/>
      <c r="C130" s="37"/>
      <c r="D130" s="34"/>
    </row>
    <row r="131" spans="1:4" ht="15" hidden="1">
      <c r="A131" s="53"/>
      <c r="B131" s="54"/>
      <c r="C131" s="37"/>
      <c r="D131" s="34"/>
    </row>
    <row r="132" spans="1:4" ht="15" hidden="1">
      <c r="A132" s="53"/>
      <c r="B132" s="54"/>
      <c r="C132" s="37"/>
      <c r="D132" s="34"/>
    </row>
    <row r="133" spans="1:4" ht="15" hidden="1">
      <c r="A133" s="53"/>
      <c r="B133" s="54"/>
      <c r="C133" s="37"/>
      <c r="D133" s="34"/>
    </row>
    <row r="134" spans="1:4" ht="15" hidden="1">
      <c r="A134" s="53"/>
      <c r="B134" s="54"/>
      <c r="C134" s="37"/>
      <c r="D134" s="34"/>
    </row>
    <row r="135" spans="1:4" ht="15" hidden="1">
      <c r="A135" s="53"/>
      <c r="B135" s="54"/>
      <c r="C135" s="37"/>
      <c r="D135" s="34"/>
    </row>
    <row r="136" spans="1:4" ht="15" hidden="1">
      <c r="A136" s="53" t="s">
        <v>7</v>
      </c>
      <c r="B136" s="55" t="s">
        <v>171</v>
      </c>
      <c r="C136" s="37"/>
      <c r="D136" s="34">
        <f>SUM(D137:D141)</f>
        <v>26786</v>
      </c>
    </row>
    <row r="137" spans="1:4" ht="15" hidden="1">
      <c r="A137" s="53"/>
      <c r="B137" s="56" t="s">
        <v>172</v>
      </c>
      <c r="C137" s="37"/>
      <c r="D137" s="34">
        <v>3319</v>
      </c>
    </row>
    <row r="138" spans="1:4" ht="15" hidden="1">
      <c r="A138" s="53"/>
      <c r="B138" s="56" t="s">
        <v>173</v>
      </c>
      <c r="C138" s="37"/>
      <c r="D138" s="34">
        <v>10005</v>
      </c>
    </row>
    <row r="139" spans="1:4" ht="15" hidden="1">
      <c r="A139" s="53"/>
      <c r="B139" s="56" t="s">
        <v>174</v>
      </c>
      <c r="C139" s="37"/>
      <c r="D139" s="34">
        <v>5764</v>
      </c>
    </row>
    <row r="140" spans="1:4" ht="15" hidden="1">
      <c r="A140" s="53"/>
      <c r="B140" s="56" t="s">
        <v>175</v>
      </c>
      <c r="C140" s="37"/>
      <c r="D140" s="34">
        <v>2142</v>
      </c>
    </row>
    <row r="141" spans="1:4" ht="15" hidden="1">
      <c r="A141" s="53"/>
      <c r="B141" s="56" t="s">
        <v>176</v>
      </c>
      <c r="C141" s="37"/>
      <c r="D141" s="34">
        <v>5556</v>
      </c>
    </row>
    <row r="142" spans="1:4" ht="15" hidden="1">
      <c r="A142" s="27">
        <v>7</v>
      </c>
      <c r="B142" s="32" t="s">
        <v>177</v>
      </c>
      <c r="C142" s="57"/>
      <c r="D142" s="58"/>
    </row>
    <row r="143" spans="1:4" ht="15" hidden="1">
      <c r="A143" s="27">
        <f>SUM(A142)+1</f>
        <v>8</v>
      </c>
      <c r="B143" s="32" t="s">
        <v>178</v>
      </c>
      <c r="C143" s="57"/>
      <c r="D143" s="34">
        <v>37593.23</v>
      </c>
    </row>
    <row r="144" spans="1:4" ht="15" hidden="1">
      <c r="A144" s="27">
        <f>SUM(A143)+1</f>
        <v>9</v>
      </c>
      <c r="B144" s="32" t="s">
        <v>179</v>
      </c>
      <c r="C144" s="37"/>
      <c r="D144" s="34">
        <v>291039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2901.48</v>
      </c>
    </row>
    <row r="146" spans="1:4" ht="15" hidden="1">
      <c r="A146" s="27">
        <v>11</v>
      </c>
      <c r="B146" s="32" t="s">
        <v>181</v>
      </c>
      <c r="C146" s="33"/>
      <c r="D146" s="34">
        <f>D147+18613+149552+199917</f>
        <v>489469.95279999997</v>
      </c>
    </row>
    <row r="147" spans="1:4" ht="30" hidden="1">
      <c r="A147" s="28" t="s">
        <v>182</v>
      </c>
      <c r="B147" s="59" t="s">
        <v>183</v>
      </c>
      <c r="C147" s="60"/>
      <c r="D147" s="64">
        <f>90*78.5*12+(1586938.5+2073856.78)*0.01</f>
        <v>121387.9528</v>
      </c>
    </row>
    <row r="148" spans="1:4" ht="30" hidden="1">
      <c r="A148" s="61">
        <v>12</v>
      </c>
      <c r="B148" s="62" t="s">
        <v>184</v>
      </c>
      <c r="C148" s="33"/>
      <c r="D148" s="34">
        <v>12949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6">
      <selection activeCell="B30" sqref="B30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7.8515625" style="1" customWidth="1"/>
    <col min="4" max="4" width="25.57421875" style="66" customWidth="1"/>
    <col min="5" max="16384" width="9.140625" style="1" customWidth="1"/>
  </cols>
  <sheetData>
    <row r="1" spans="1:4" ht="16.5" customHeight="1">
      <c r="A1" s="102" t="s">
        <v>0</v>
      </c>
      <c r="B1" s="102"/>
      <c r="C1" s="102"/>
      <c r="D1" s="102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7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87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87">
        <v>42369</v>
      </c>
    </row>
    <row r="7" spans="1:4" s="9" customFormat="1" ht="29.25" customHeight="1">
      <c r="A7" s="103" t="s">
        <v>13</v>
      </c>
      <c r="B7" s="103"/>
      <c r="C7" s="103"/>
      <c r="D7" s="103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8">
        <f>91660.63+156875.43</f>
        <v>248536.06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8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8">
        <f>D8</f>
        <v>248536.06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f>1773264.78+194893.3</f>
        <v>1968158.08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f>1712232.82+200580.06</f>
        <v>1912812.8800000001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f>D15</f>
        <v>1912812.8800000001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D16</f>
        <v>1912812.8800000001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D8+D11-D16</f>
        <v>303881.26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217907.39+85973.87</f>
        <v>303881.26</v>
      </c>
    </row>
    <row r="25" spans="1:4" s="9" customFormat="1" ht="29.25" customHeight="1">
      <c r="A25" s="101" t="s">
        <v>49</v>
      </c>
      <c r="B25" s="101"/>
      <c r="C25" s="101"/>
      <c r="D25" s="101"/>
    </row>
    <row r="26" spans="1:4" s="9" customFormat="1" ht="15">
      <c r="A26" s="6"/>
      <c r="B26" s="7" t="s">
        <v>50</v>
      </c>
      <c r="C26" s="18"/>
      <c r="D26" s="69"/>
    </row>
    <row r="27" spans="1:4" s="9" customFormat="1" ht="15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5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5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5">
      <c r="A30" s="6"/>
      <c r="B30" s="7" t="s">
        <v>58</v>
      </c>
      <c r="C30" s="8"/>
      <c r="D30" s="17"/>
    </row>
    <row r="31" spans="1:4" s="9" customFormat="1" ht="56.25" customHeight="1">
      <c r="A31" s="19" t="s">
        <v>59</v>
      </c>
      <c r="B31" s="16" t="s">
        <v>52</v>
      </c>
      <c r="C31" s="8" t="s">
        <v>7</v>
      </c>
      <c r="D31" s="70" t="s">
        <v>238</v>
      </c>
    </row>
    <row r="32" spans="1:4" s="9" customFormat="1" ht="51">
      <c r="A32" s="19" t="s">
        <v>60</v>
      </c>
      <c r="B32" s="16" t="s">
        <v>55</v>
      </c>
      <c r="C32" s="8" t="s">
        <v>7</v>
      </c>
      <c r="D32" s="70" t="s">
        <v>257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70" t="s">
        <v>231</v>
      </c>
    </row>
    <row r="34" spans="1:4" s="9" customFormat="1" ht="16.5" customHeight="1">
      <c r="A34" s="101" t="s">
        <v>62</v>
      </c>
      <c r="B34" s="101"/>
      <c r="C34" s="101"/>
      <c r="D34" s="101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01" t="s">
        <v>72</v>
      </c>
      <c r="B39" s="101"/>
      <c r="C39" s="101"/>
      <c r="D39" s="101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172470.36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f>D40</f>
        <v>172470.36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D52+D72+D82</f>
        <v>274635.65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D43</f>
        <v>274635.65</v>
      </c>
    </row>
    <row r="46" spans="1:4" s="9" customFormat="1" ht="15" customHeight="1">
      <c r="A46" s="101" t="s">
        <v>81</v>
      </c>
      <c r="B46" s="101"/>
      <c r="C46" s="101"/>
      <c r="D46" s="101"/>
    </row>
    <row r="47" spans="1:4" s="9" customFormat="1" ht="27.75" customHeight="1">
      <c r="A47" s="6" t="s">
        <v>82</v>
      </c>
      <c r="B47" s="16" t="s">
        <v>83</v>
      </c>
      <c r="C47" s="8" t="s">
        <v>7</v>
      </c>
      <c r="D47" s="71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D50/27.025</f>
        <v>15537.5111933395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v>419901.24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v>401868.28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v>48475.32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f>D50</f>
        <v>419901.24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510160.94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-22650.72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15" customHeight="1">
      <c r="A57" s="6" t="s">
        <v>82</v>
      </c>
      <c r="B57" s="16" t="s">
        <v>83</v>
      </c>
      <c r="C57" s="8" t="s">
        <v>7</v>
      </c>
      <c r="D57" s="71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71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</f>
        <v>15537.5111933395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v>228233.09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v>218431.45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v>26348.27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f>D70</f>
        <v>228233.09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303113.53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-13457.99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71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f>D80/1673.36</f>
        <v>1034.329313477076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v>1730805.3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v>1656474.61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v>199812.06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f>D80</f>
        <v>1730805.3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1764157.2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82219.23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101" t="s">
        <v>138</v>
      </c>
      <c r="B87" s="101"/>
      <c r="C87" s="101"/>
      <c r="D87" s="101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01" t="s">
        <v>143</v>
      </c>
      <c r="B92" s="101"/>
      <c r="C92" s="101"/>
      <c r="D92" s="101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88">
        <v>9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88">
        <v>1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83706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72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1764723.1316</v>
      </c>
    </row>
    <row r="103" spans="1:4" ht="15" hidden="1">
      <c r="A103" s="27">
        <v>1</v>
      </c>
      <c r="B103" s="32" t="s">
        <v>155</v>
      </c>
      <c r="C103" s="33"/>
      <c r="D103" s="34">
        <v>234236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124872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13709.77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0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0</v>
      </c>
    </row>
    <row r="108" spans="1:4" ht="15" hidden="1">
      <c r="A108" s="27" t="s">
        <v>7</v>
      </c>
      <c r="B108" s="40" t="s">
        <v>160</v>
      </c>
      <c r="C108" s="37"/>
      <c r="D108" s="34"/>
    </row>
    <row r="109" spans="1:4" ht="15" hidden="1">
      <c r="A109" s="27"/>
      <c r="B109" s="41" t="s">
        <v>161</v>
      </c>
      <c r="C109" s="37"/>
      <c r="D109" s="34"/>
    </row>
    <row r="110" spans="1:4" ht="15" hidden="1">
      <c r="A110" s="27"/>
      <c r="B110" s="41" t="s">
        <v>162</v>
      </c>
      <c r="C110" s="37"/>
      <c r="D110" s="34"/>
    </row>
    <row r="111" spans="1:4" ht="15" hidden="1">
      <c r="A111" s="27" t="s">
        <v>7</v>
      </c>
      <c r="B111" s="42" t="s">
        <v>163</v>
      </c>
      <c r="C111" s="37"/>
      <c r="D111" s="34"/>
    </row>
    <row r="112" spans="1:4" ht="15" hidden="1">
      <c r="A112" s="43" t="s">
        <v>7</v>
      </c>
      <c r="B112" s="44" t="s">
        <v>185</v>
      </c>
      <c r="C112" s="45"/>
      <c r="D112" s="73"/>
    </row>
    <row r="113" spans="1:4" ht="60" hidden="1">
      <c r="A113" s="27">
        <f>SUM(A107)+1</f>
        <v>6</v>
      </c>
      <c r="B113" s="47" t="s">
        <v>164</v>
      </c>
      <c r="C113" s="48"/>
      <c r="D113" s="34">
        <f>D114+D115+D116+D117+D124+D125+D136</f>
        <v>545795.44</v>
      </c>
    </row>
    <row r="114" spans="1:4" ht="45" hidden="1">
      <c r="A114" s="49" t="s">
        <v>7</v>
      </c>
      <c r="B114" s="50" t="s">
        <v>165</v>
      </c>
      <c r="C114" s="51"/>
      <c r="D114" s="52">
        <v>220271</v>
      </c>
    </row>
    <row r="115" spans="1:4" ht="15" hidden="1">
      <c r="A115" s="53" t="s">
        <v>7</v>
      </c>
      <c r="B115" s="54" t="s">
        <v>166</v>
      </c>
      <c r="C115" s="37"/>
      <c r="D115" s="34">
        <v>68064</v>
      </c>
    </row>
    <row r="116" spans="1:4" ht="15" hidden="1">
      <c r="A116" s="53" t="s">
        <v>7</v>
      </c>
      <c r="B116" s="54" t="s">
        <v>167</v>
      </c>
      <c r="C116" s="37"/>
      <c r="D116" s="34">
        <v>14163.3</v>
      </c>
    </row>
    <row r="117" spans="1:4" ht="15" hidden="1">
      <c r="A117" s="53" t="s">
        <v>7</v>
      </c>
      <c r="B117" s="54" t="s">
        <v>168</v>
      </c>
      <c r="C117" s="37"/>
      <c r="D117" s="34">
        <f>SUM(D118:D123)</f>
        <v>2372</v>
      </c>
    </row>
    <row r="118" spans="1:4" ht="15" hidden="1">
      <c r="A118" s="53"/>
      <c r="B118" s="54" t="s">
        <v>207</v>
      </c>
      <c r="C118" s="37"/>
      <c r="D118" s="34">
        <v>2372</v>
      </c>
    </row>
    <row r="119" spans="1:4" ht="15" hidden="1">
      <c r="A119" s="53"/>
      <c r="B119" s="54"/>
      <c r="C119" s="37"/>
      <c r="D119" s="34"/>
    </row>
    <row r="120" spans="1:4" ht="15" hidden="1">
      <c r="A120" s="53"/>
      <c r="B120" s="54"/>
      <c r="C120" s="37"/>
      <c r="D120" s="34"/>
    </row>
    <row r="121" spans="1:4" ht="15" hidden="1">
      <c r="A121" s="53"/>
      <c r="B121" s="54"/>
      <c r="C121" s="37"/>
      <c r="D121" s="34"/>
    </row>
    <row r="122" spans="1:4" ht="15" hidden="1">
      <c r="A122" s="53"/>
      <c r="B122" s="54"/>
      <c r="C122" s="37"/>
      <c r="D122" s="34"/>
    </row>
    <row r="123" spans="1:4" ht="15" hidden="1">
      <c r="A123" s="53"/>
      <c r="B123" s="54"/>
      <c r="C123" s="37"/>
      <c r="D123" s="34"/>
    </row>
    <row r="124" spans="1:4" ht="15" hidden="1">
      <c r="A124" s="53" t="s">
        <v>7</v>
      </c>
      <c r="B124" s="54" t="s">
        <v>169</v>
      </c>
      <c r="C124" s="37"/>
      <c r="D124" s="34">
        <v>45062</v>
      </c>
    </row>
    <row r="125" spans="1:4" ht="15" hidden="1">
      <c r="A125" s="53" t="s">
        <v>7</v>
      </c>
      <c r="B125" s="54" t="s">
        <v>170</v>
      </c>
      <c r="C125" s="37"/>
      <c r="D125" s="34">
        <f>SUM(D126:D135)</f>
        <v>169641.14</v>
      </c>
    </row>
    <row r="126" spans="1:4" ht="15" hidden="1">
      <c r="A126" s="53"/>
      <c r="B126" s="54" t="s">
        <v>219</v>
      </c>
      <c r="C126" s="37"/>
      <c r="D126" s="34">
        <v>110128.32</v>
      </c>
    </row>
    <row r="127" spans="1:4" ht="15" hidden="1">
      <c r="A127" s="53"/>
      <c r="B127" s="54" t="s">
        <v>220</v>
      </c>
      <c r="C127" s="37"/>
      <c r="D127" s="34">
        <v>7027.88</v>
      </c>
    </row>
    <row r="128" spans="1:4" ht="15" hidden="1">
      <c r="A128" s="53"/>
      <c r="B128" s="54" t="s">
        <v>217</v>
      </c>
      <c r="C128" s="37"/>
      <c r="D128" s="34">
        <v>52484.94</v>
      </c>
    </row>
    <row r="129" spans="1:4" ht="15" hidden="1">
      <c r="A129" s="53"/>
      <c r="B129" s="54"/>
      <c r="C129" s="37"/>
      <c r="D129" s="34"/>
    </row>
    <row r="130" spans="1:4" ht="15" hidden="1">
      <c r="A130" s="53"/>
      <c r="B130" s="54"/>
      <c r="C130" s="37"/>
      <c r="D130" s="34"/>
    </row>
    <row r="131" spans="1:4" ht="15" hidden="1">
      <c r="A131" s="53"/>
      <c r="B131" s="54"/>
      <c r="C131" s="37"/>
      <c r="D131" s="34"/>
    </row>
    <row r="132" spans="1:4" ht="15" hidden="1">
      <c r="A132" s="53"/>
      <c r="B132" s="54"/>
      <c r="C132" s="37"/>
      <c r="D132" s="34"/>
    </row>
    <row r="133" spans="1:4" ht="15" hidden="1">
      <c r="A133" s="53"/>
      <c r="B133" s="54"/>
      <c r="C133" s="37"/>
      <c r="D133" s="34"/>
    </row>
    <row r="134" spans="1:4" ht="15" hidden="1">
      <c r="A134" s="53"/>
      <c r="B134" s="54"/>
      <c r="C134" s="37"/>
      <c r="D134" s="34"/>
    </row>
    <row r="135" spans="1:4" ht="15" hidden="1">
      <c r="A135" s="53"/>
      <c r="B135" s="54"/>
      <c r="C135" s="37"/>
      <c r="D135" s="34"/>
    </row>
    <row r="136" spans="1:4" ht="15" hidden="1">
      <c r="A136" s="53" t="s">
        <v>7</v>
      </c>
      <c r="B136" s="55" t="s">
        <v>171</v>
      </c>
      <c r="C136" s="37"/>
      <c r="D136" s="34">
        <f>SUM(D137:D141)</f>
        <v>26222</v>
      </c>
    </row>
    <row r="137" spans="1:4" ht="15" hidden="1">
      <c r="A137" s="53"/>
      <c r="B137" s="56" t="s">
        <v>172</v>
      </c>
      <c r="C137" s="37"/>
      <c r="D137" s="34">
        <v>3249</v>
      </c>
    </row>
    <row r="138" spans="1:4" ht="15" hidden="1">
      <c r="A138" s="53"/>
      <c r="B138" s="56" t="s">
        <v>173</v>
      </c>
      <c r="C138" s="37"/>
      <c r="D138" s="34">
        <v>9794</v>
      </c>
    </row>
    <row r="139" spans="1:4" ht="15" hidden="1">
      <c r="A139" s="53"/>
      <c r="B139" s="56" t="s">
        <v>174</v>
      </c>
      <c r="C139" s="37"/>
      <c r="D139" s="34">
        <v>5643</v>
      </c>
    </row>
    <row r="140" spans="1:4" ht="15" hidden="1">
      <c r="A140" s="53"/>
      <c r="B140" s="56" t="s">
        <v>175</v>
      </c>
      <c r="C140" s="37"/>
      <c r="D140" s="34">
        <v>2097</v>
      </c>
    </row>
    <row r="141" spans="1:4" ht="15" hidden="1">
      <c r="A141" s="53"/>
      <c r="B141" s="56" t="s">
        <v>176</v>
      </c>
      <c r="C141" s="37"/>
      <c r="D141" s="34">
        <v>5439</v>
      </c>
    </row>
    <row r="142" spans="1:4" ht="15" hidden="1">
      <c r="A142" s="27">
        <v>7</v>
      </c>
      <c r="B142" s="32" t="s">
        <v>177</v>
      </c>
      <c r="C142" s="57"/>
      <c r="D142" s="58"/>
    </row>
    <row r="143" spans="1:4" ht="15" hidden="1">
      <c r="A143" s="27">
        <f>SUM(A142)+1</f>
        <v>8</v>
      </c>
      <c r="B143" s="32" t="s">
        <v>178</v>
      </c>
      <c r="C143" s="57"/>
      <c r="D143" s="34">
        <v>43944.14</v>
      </c>
    </row>
    <row r="144" spans="1:4" ht="15" hidden="1">
      <c r="A144" s="27">
        <f>SUM(A143)+1</f>
        <v>9</v>
      </c>
      <c r="B144" s="32" t="s">
        <v>179</v>
      </c>
      <c r="C144" s="37"/>
      <c r="D144" s="34">
        <v>284903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2637.71</v>
      </c>
    </row>
    <row r="146" spans="1:4" ht="15" hidden="1">
      <c r="A146" s="27">
        <v>11</v>
      </c>
      <c r="B146" s="32" t="s">
        <v>181</v>
      </c>
      <c r="C146" s="33"/>
      <c r="D146" s="34">
        <f>D147+18221+146399+195703</f>
        <v>501949.0716</v>
      </c>
    </row>
    <row r="147" spans="1:4" ht="30" hidden="1">
      <c r="A147" s="28" t="s">
        <v>182</v>
      </c>
      <c r="B147" s="59" t="s">
        <v>183</v>
      </c>
      <c r="C147" s="60"/>
      <c r="D147" s="64">
        <f>108*78.5*12+(1712232.82+2276774.34)*0.01</f>
        <v>141626.0716</v>
      </c>
    </row>
    <row r="148" spans="1:4" ht="30" hidden="1">
      <c r="A148" s="61">
        <v>12</v>
      </c>
      <c r="B148" s="62" t="s">
        <v>184</v>
      </c>
      <c r="C148" s="33"/>
      <c r="D148" s="34">
        <v>12676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48"/>
  <sheetViews>
    <sheetView view="pageLayout" zoomScaleSheetLayoutView="120" workbookViewId="0" topLeftCell="A1">
      <selection activeCell="B12" sqref="B12"/>
    </sheetView>
  </sheetViews>
  <sheetFormatPr defaultColWidth="9.140625" defaultRowHeight="15"/>
  <cols>
    <col min="1" max="1" width="5.8515625" style="2" customWidth="1"/>
    <col min="2" max="2" width="58.57421875" style="3" customWidth="1"/>
    <col min="3" max="3" width="10.00390625" style="1" customWidth="1"/>
    <col min="4" max="4" width="24.57421875" style="66" customWidth="1"/>
    <col min="5" max="16384" width="9.140625" style="1" customWidth="1"/>
  </cols>
  <sheetData>
    <row r="1" spans="1:4" ht="16.5" customHeight="1">
      <c r="A1" s="102" t="s">
        <v>0</v>
      </c>
      <c r="B1" s="102"/>
      <c r="C1" s="102"/>
      <c r="D1" s="102"/>
    </row>
    <row r="2" ht="11.25" customHeight="1"/>
    <row r="3" spans="1:4" ht="27.75" customHeight="1">
      <c r="A3" s="4" t="s">
        <v>1</v>
      </c>
      <c r="B3" s="5" t="s">
        <v>2</v>
      </c>
      <c r="C3" s="4" t="s">
        <v>3</v>
      </c>
      <c r="D3" s="67" t="s">
        <v>4</v>
      </c>
    </row>
    <row r="4" spans="1:4" s="9" customFormat="1" ht="16.5" customHeight="1">
      <c r="A4" s="6" t="s">
        <v>5</v>
      </c>
      <c r="B4" s="7" t="s">
        <v>6</v>
      </c>
      <c r="C4" s="8" t="s">
        <v>7</v>
      </c>
      <c r="D4" s="17" t="s">
        <v>8</v>
      </c>
    </row>
    <row r="5" spans="1:4" s="9" customFormat="1" ht="16.5" customHeight="1">
      <c r="A5" s="6" t="s">
        <v>9</v>
      </c>
      <c r="B5" s="7" t="s">
        <v>10</v>
      </c>
      <c r="C5" s="8" t="s">
        <v>7</v>
      </c>
      <c r="D5" s="87">
        <v>42005</v>
      </c>
    </row>
    <row r="6" spans="1:4" s="9" customFormat="1" ht="15.75" customHeight="1">
      <c r="A6" s="6" t="s">
        <v>11</v>
      </c>
      <c r="B6" s="7" t="s">
        <v>12</v>
      </c>
      <c r="C6" s="8" t="s">
        <v>7</v>
      </c>
      <c r="D6" s="87">
        <v>42369</v>
      </c>
    </row>
    <row r="7" spans="1:4" s="9" customFormat="1" ht="29.25" customHeight="1">
      <c r="A7" s="103" t="s">
        <v>13</v>
      </c>
      <c r="B7" s="103"/>
      <c r="C7" s="103"/>
      <c r="D7" s="103"/>
    </row>
    <row r="8" spans="1:4" s="9" customFormat="1" ht="16.5" customHeight="1">
      <c r="A8" s="10" t="s">
        <v>14</v>
      </c>
      <c r="B8" s="11" t="s">
        <v>15</v>
      </c>
      <c r="C8" s="12" t="s">
        <v>16</v>
      </c>
      <c r="D8" s="68">
        <v>116045.33</v>
      </c>
    </row>
    <row r="9" spans="1:4" s="9" customFormat="1" ht="15.75" customHeight="1">
      <c r="A9" s="10" t="s">
        <v>17</v>
      </c>
      <c r="B9" s="13" t="s">
        <v>18</v>
      </c>
      <c r="C9" s="12" t="s">
        <v>16</v>
      </c>
      <c r="D9" s="68">
        <v>0</v>
      </c>
    </row>
    <row r="10" spans="1:4" s="9" customFormat="1" ht="15.75" customHeight="1">
      <c r="A10" s="10" t="s">
        <v>19</v>
      </c>
      <c r="B10" s="13" t="s">
        <v>20</v>
      </c>
      <c r="C10" s="12" t="s">
        <v>16</v>
      </c>
      <c r="D10" s="68">
        <f>D8</f>
        <v>116045.33</v>
      </c>
    </row>
    <row r="11" spans="1:4" s="9" customFormat="1" ht="28.5" customHeight="1">
      <c r="A11" s="10" t="s">
        <v>21</v>
      </c>
      <c r="B11" s="11" t="s">
        <v>22</v>
      </c>
      <c r="C11" s="12" t="s">
        <v>16</v>
      </c>
      <c r="D11" s="14">
        <v>977693.28</v>
      </c>
    </row>
    <row r="12" spans="1:4" s="9" customFormat="1" ht="15.75" customHeight="1">
      <c r="A12" s="6" t="s">
        <v>23</v>
      </c>
      <c r="B12" s="15" t="s">
        <v>24</v>
      </c>
      <c r="C12" s="8" t="s">
        <v>16</v>
      </c>
      <c r="D12" s="17">
        <v>0</v>
      </c>
    </row>
    <row r="13" spans="1:4" s="9" customFormat="1" ht="15.75" customHeight="1">
      <c r="A13" s="6" t="s">
        <v>25</v>
      </c>
      <c r="B13" s="15" t="s">
        <v>26</v>
      </c>
      <c r="C13" s="8" t="s">
        <v>16</v>
      </c>
      <c r="D13" s="17">
        <v>0</v>
      </c>
    </row>
    <row r="14" spans="1:4" s="9" customFormat="1" ht="15.75" customHeight="1">
      <c r="A14" s="6" t="s">
        <v>27</v>
      </c>
      <c r="B14" s="15" t="s">
        <v>28</v>
      </c>
      <c r="C14" s="8" t="s">
        <v>16</v>
      </c>
      <c r="D14" s="17">
        <v>0</v>
      </c>
    </row>
    <row r="15" spans="1:4" s="9" customFormat="1" ht="15.75" customHeight="1">
      <c r="A15" s="6" t="s">
        <v>29</v>
      </c>
      <c r="B15" s="16" t="s">
        <v>30</v>
      </c>
      <c r="C15" s="8" t="s">
        <v>16</v>
      </c>
      <c r="D15" s="17">
        <f>D16</f>
        <v>937561.41</v>
      </c>
    </row>
    <row r="16" spans="1:4" s="9" customFormat="1" ht="15.75" customHeight="1">
      <c r="A16" s="6" t="s">
        <v>31</v>
      </c>
      <c r="B16" s="15" t="s">
        <v>32</v>
      </c>
      <c r="C16" s="8" t="s">
        <v>16</v>
      </c>
      <c r="D16" s="17">
        <v>937561.41</v>
      </c>
    </row>
    <row r="17" spans="1:4" s="9" customFormat="1" ht="15.75" customHeight="1">
      <c r="A17" s="6" t="s">
        <v>33</v>
      </c>
      <c r="B17" s="15" t="s">
        <v>34</v>
      </c>
      <c r="C17" s="8" t="s">
        <v>16</v>
      </c>
      <c r="D17" s="17">
        <v>0</v>
      </c>
    </row>
    <row r="18" spans="1:4" s="9" customFormat="1" ht="15.75" customHeight="1">
      <c r="A18" s="6" t="s">
        <v>35</v>
      </c>
      <c r="B18" s="15" t="s">
        <v>36</v>
      </c>
      <c r="C18" s="8" t="s">
        <v>16</v>
      </c>
      <c r="D18" s="17">
        <v>0</v>
      </c>
    </row>
    <row r="19" spans="1:4" s="9" customFormat="1" ht="15.75" customHeight="1">
      <c r="A19" s="6" t="s">
        <v>37</v>
      </c>
      <c r="B19" s="15" t="s">
        <v>38</v>
      </c>
      <c r="C19" s="8" t="s">
        <v>16</v>
      </c>
      <c r="D19" s="17">
        <v>0</v>
      </c>
    </row>
    <row r="20" spans="1:4" s="9" customFormat="1" ht="15.75" customHeight="1">
      <c r="A20" s="6" t="s">
        <v>39</v>
      </c>
      <c r="B20" s="15" t="s">
        <v>40</v>
      </c>
      <c r="C20" s="8" t="s">
        <v>16</v>
      </c>
      <c r="D20" s="17">
        <v>0</v>
      </c>
    </row>
    <row r="21" spans="1:4" s="9" customFormat="1" ht="15">
      <c r="A21" s="6" t="s">
        <v>41</v>
      </c>
      <c r="B21" s="16" t="s">
        <v>42</v>
      </c>
      <c r="C21" s="8" t="s">
        <v>16</v>
      </c>
      <c r="D21" s="17">
        <f>D15</f>
        <v>937561.41</v>
      </c>
    </row>
    <row r="22" spans="1:4" s="9" customFormat="1" ht="15.75" customHeight="1">
      <c r="A22" s="6" t="s">
        <v>43</v>
      </c>
      <c r="B22" s="16" t="s">
        <v>44</v>
      </c>
      <c r="C22" s="8" t="s">
        <v>16</v>
      </c>
      <c r="D22" s="17">
        <f>D8+D11-D15</f>
        <v>156177.20000000007</v>
      </c>
    </row>
    <row r="23" spans="1:4" s="9" customFormat="1" ht="15" customHeight="1">
      <c r="A23" s="6" t="s">
        <v>45</v>
      </c>
      <c r="B23" s="15" t="s">
        <v>46</v>
      </c>
      <c r="C23" s="8" t="s">
        <v>16</v>
      </c>
      <c r="D23" s="17">
        <v>0</v>
      </c>
    </row>
    <row r="24" spans="1:4" s="9" customFormat="1" ht="15" customHeight="1">
      <c r="A24" s="6" t="s">
        <v>47</v>
      </c>
      <c r="B24" s="15" t="s">
        <v>48</v>
      </c>
      <c r="C24" s="8" t="s">
        <v>16</v>
      </c>
      <c r="D24" s="17">
        <f>D22</f>
        <v>156177.20000000007</v>
      </c>
    </row>
    <row r="25" spans="1:4" s="9" customFormat="1" ht="29.25" customHeight="1">
      <c r="A25" s="101" t="s">
        <v>49</v>
      </c>
      <c r="B25" s="101"/>
      <c r="C25" s="101"/>
      <c r="D25" s="101"/>
    </row>
    <row r="26" spans="1:4" s="9" customFormat="1" ht="16.5" customHeight="1">
      <c r="A26" s="6"/>
      <c r="B26" s="7" t="s">
        <v>50</v>
      </c>
      <c r="C26" s="18"/>
      <c r="D26" s="69"/>
    </row>
    <row r="27" spans="1:4" s="9" customFormat="1" ht="16.5" customHeight="1">
      <c r="A27" s="6" t="s">
        <v>51</v>
      </c>
      <c r="B27" s="16" t="s">
        <v>52</v>
      </c>
      <c r="C27" s="8" t="s">
        <v>7</v>
      </c>
      <c r="D27" s="17" t="s">
        <v>53</v>
      </c>
    </row>
    <row r="28" spans="1:4" s="9" customFormat="1" ht="16.5" customHeight="1">
      <c r="A28" s="6" t="s">
        <v>54</v>
      </c>
      <c r="B28" s="16" t="s">
        <v>55</v>
      </c>
      <c r="C28" s="8" t="s">
        <v>7</v>
      </c>
      <c r="D28" s="17" t="s">
        <v>53</v>
      </c>
    </row>
    <row r="29" spans="1:4" s="9" customFormat="1" ht="16.5" customHeight="1">
      <c r="A29" s="6" t="s">
        <v>56</v>
      </c>
      <c r="B29" s="16" t="s">
        <v>57</v>
      </c>
      <c r="C29" s="8" t="s">
        <v>7</v>
      </c>
      <c r="D29" s="17" t="s">
        <v>53</v>
      </c>
    </row>
    <row r="30" spans="1:4" s="9" customFormat="1" ht="16.5" customHeight="1">
      <c r="A30" s="6"/>
      <c r="B30" s="7" t="s">
        <v>58</v>
      </c>
      <c r="C30" s="8"/>
      <c r="D30" s="17"/>
    </row>
    <row r="31" spans="1:4" s="9" customFormat="1" ht="51">
      <c r="A31" s="19" t="s">
        <v>59</v>
      </c>
      <c r="B31" s="16" t="s">
        <v>52</v>
      </c>
      <c r="C31" s="8" t="s">
        <v>7</v>
      </c>
      <c r="D31" s="70" t="s">
        <v>239</v>
      </c>
    </row>
    <row r="32" spans="1:4" s="9" customFormat="1" ht="51">
      <c r="A32" s="19" t="s">
        <v>60</v>
      </c>
      <c r="B32" s="16" t="s">
        <v>55</v>
      </c>
      <c r="C32" s="8" t="s">
        <v>7</v>
      </c>
      <c r="D32" s="70" t="s">
        <v>257</v>
      </c>
    </row>
    <row r="33" spans="1:4" s="9" customFormat="1" ht="25.5">
      <c r="A33" s="19" t="s">
        <v>61</v>
      </c>
      <c r="B33" s="16" t="s">
        <v>57</v>
      </c>
      <c r="C33" s="8" t="s">
        <v>7</v>
      </c>
      <c r="D33" s="70" t="s">
        <v>231</v>
      </c>
    </row>
    <row r="34" spans="1:4" s="9" customFormat="1" ht="16.5" customHeight="1">
      <c r="A34" s="101" t="s">
        <v>62</v>
      </c>
      <c r="B34" s="101"/>
      <c r="C34" s="101"/>
      <c r="D34" s="101"/>
    </row>
    <row r="35" spans="1:4" s="9" customFormat="1" ht="16.5" customHeight="1">
      <c r="A35" s="6" t="s">
        <v>63</v>
      </c>
      <c r="B35" s="16" t="s">
        <v>64</v>
      </c>
      <c r="C35" s="8" t="s">
        <v>65</v>
      </c>
      <c r="D35" s="17">
        <v>0</v>
      </c>
    </row>
    <row r="36" spans="1:4" s="9" customFormat="1" ht="16.5" customHeight="1">
      <c r="A36" s="6" t="s">
        <v>66</v>
      </c>
      <c r="B36" s="16" t="s">
        <v>67</v>
      </c>
      <c r="C36" s="8" t="s">
        <v>65</v>
      </c>
      <c r="D36" s="17">
        <v>0</v>
      </c>
    </row>
    <row r="37" spans="1:4" s="9" customFormat="1" ht="16.5" customHeight="1">
      <c r="A37" s="6" t="s">
        <v>68</v>
      </c>
      <c r="B37" s="16" t="s">
        <v>69</v>
      </c>
      <c r="C37" s="8" t="s">
        <v>65</v>
      </c>
      <c r="D37" s="17">
        <v>0</v>
      </c>
    </row>
    <row r="38" spans="1:4" s="9" customFormat="1" ht="16.5" customHeight="1">
      <c r="A38" s="6" t="s">
        <v>70</v>
      </c>
      <c r="B38" s="16" t="s">
        <v>71</v>
      </c>
      <c r="C38" s="8" t="s">
        <v>16</v>
      </c>
      <c r="D38" s="17">
        <v>0</v>
      </c>
    </row>
    <row r="39" spans="1:4" s="9" customFormat="1" ht="16.5" customHeight="1">
      <c r="A39" s="101" t="s">
        <v>72</v>
      </c>
      <c r="B39" s="101"/>
      <c r="C39" s="101"/>
      <c r="D39" s="101"/>
    </row>
    <row r="40" spans="1:4" s="9" customFormat="1" ht="30" customHeight="1">
      <c r="A40" s="6" t="s">
        <v>73</v>
      </c>
      <c r="B40" s="16" t="s">
        <v>74</v>
      </c>
      <c r="C40" s="8" t="s">
        <v>16</v>
      </c>
      <c r="D40" s="17">
        <v>0</v>
      </c>
    </row>
    <row r="41" spans="1:4" s="9" customFormat="1" ht="16.5" customHeight="1">
      <c r="A41" s="6" t="s">
        <v>75</v>
      </c>
      <c r="B41" s="15" t="s">
        <v>18</v>
      </c>
      <c r="C41" s="8" t="s">
        <v>16</v>
      </c>
      <c r="D41" s="17">
        <v>0</v>
      </c>
    </row>
    <row r="42" spans="1:4" s="9" customFormat="1" ht="16.5" customHeight="1">
      <c r="A42" s="6" t="s">
        <v>76</v>
      </c>
      <c r="B42" s="15" t="s">
        <v>20</v>
      </c>
      <c r="C42" s="8" t="s">
        <v>16</v>
      </c>
      <c r="D42" s="17">
        <v>0</v>
      </c>
    </row>
    <row r="43" spans="1:4" s="9" customFormat="1" ht="30" customHeight="1">
      <c r="A43" s="6" t="s">
        <v>77</v>
      </c>
      <c r="B43" s="16" t="s">
        <v>78</v>
      </c>
      <c r="C43" s="8" t="s">
        <v>16</v>
      </c>
      <c r="D43" s="17">
        <f>2956.59+27753.57</f>
        <v>30710.16</v>
      </c>
    </row>
    <row r="44" spans="1:4" s="9" customFormat="1" ht="15" customHeight="1">
      <c r="A44" s="6" t="s">
        <v>79</v>
      </c>
      <c r="B44" s="15" t="s">
        <v>18</v>
      </c>
      <c r="C44" s="8" t="s">
        <v>16</v>
      </c>
      <c r="D44" s="17">
        <v>0</v>
      </c>
    </row>
    <row r="45" spans="1:4" s="9" customFormat="1" ht="15" customHeight="1">
      <c r="A45" s="6" t="s">
        <v>80</v>
      </c>
      <c r="B45" s="15" t="s">
        <v>20</v>
      </c>
      <c r="C45" s="8" t="s">
        <v>16</v>
      </c>
      <c r="D45" s="17">
        <f>D52+D72+D82</f>
        <v>30710.16</v>
      </c>
    </row>
    <row r="46" spans="1:4" s="9" customFormat="1" ht="15" customHeight="1">
      <c r="A46" s="101" t="s">
        <v>81</v>
      </c>
      <c r="B46" s="101"/>
      <c r="C46" s="101"/>
      <c r="D46" s="101"/>
    </row>
    <row r="47" spans="1:4" s="9" customFormat="1" ht="28.5">
      <c r="A47" s="6" t="s">
        <v>82</v>
      </c>
      <c r="B47" s="16" t="s">
        <v>83</v>
      </c>
      <c r="C47" s="8" t="s">
        <v>7</v>
      </c>
      <c r="D47" s="71" t="s">
        <v>84</v>
      </c>
    </row>
    <row r="48" spans="1:4" s="9" customFormat="1" ht="15" customHeight="1">
      <c r="A48" s="6" t="s">
        <v>85</v>
      </c>
      <c r="B48" s="16" t="s">
        <v>86</v>
      </c>
      <c r="C48" s="8" t="s">
        <v>7</v>
      </c>
      <c r="D48" s="17" t="s">
        <v>87</v>
      </c>
    </row>
    <row r="49" spans="1:4" s="9" customFormat="1" ht="15" customHeight="1">
      <c r="A49" s="6" t="s">
        <v>88</v>
      </c>
      <c r="B49" s="16" t="s">
        <v>89</v>
      </c>
      <c r="C49" s="8" t="s">
        <v>90</v>
      </c>
      <c r="D49" s="17">
        <f>D50/28.07</f>
        <v>5689.045600285002</v>
      </c>
    </row>
    <row r="50" spans="1:4" s="9" customFormat="1" ht="15" customHeight="1">
      <c r="A50" s="6" t="s">
        <v>91</v>
      </c>
      <c r="B50" s="16" t="s">
        <v>92</v>
      </c>
      <c r="C50" s="8" t="s">
        <v>16</v>
      </c>
      <c r="D50" s="17">
        <f>159040.44+651.07</f>
        <v>159691.51</v>
      </c>
    </row>
    <row r="51" spans="1:4" s="9" customFormat="1" ht="15" customHeight="1">
      <c r="A51" s="6" t="s">
        <v>93</v>
      </c>
      <c r="B51" s="15" t="s">
        <v>94</v>
      </c>
      <c r="C51" s="8" t="s">
        <v>16</v>
      </c>
      <c r="D51" s="17">
        <f>591.09+152487.32</f>
        <v>153078.41</v>
      </c>
    </row>
    <row r="52" spans="1:4" s="9" customFormat="1" ht="15" customHeight="1">
      <c r="A52" s="6" t="s">
        <v>95</v>
      </c>
      <c r="B52" s="15" t="s">
        <v>96</v>
      </c>
      <c r="C52" s="8" t="s">
        <v>16</v>
      </c>
      <c r="D52" s="17">
        <f>6553.12+651.07-591.09</f>
        <v>6613.099999999999</v>
      </c>
    </row>
    <row r="53" spans="1:4" s="9" customFormat="1" ht="15" customHeight="1">
      <c r="A53" s="6" t="s">
        <v>97</v>
      </c>
      <c r="B53" s="15" t="s">
        <v>98</v>
      </c>
      <c r="C53" s="8" t="s">
        <v>16</v>
      </c>
      <c r="D53" s="17">
        <v>174638.28</v>
      </c>
    </row>
    <row r="54" spans="1:4" s="9" customFormat="1" ht="15" customHeight="1">
      <c r="A54" s="6" t="s">
        <v>99</v>
      </c>
      <c r="B54" s="15" t="s">
        <v>100</v>
      </c>
      <c r="C54" s="8" t="s">
        <v>16</v>
      </c>
      <c r="D54" s="17">
        <v>119300.5</v>
      </c>
    </row>
    <row r="55" spans="1:4" s="9" customFormat="1" ht="15" customHeight="1">
      <c r="A55" s="6" t="s">
        <v>101</v>
      </c>
      <c r="B55" s="15" t="s">
        <v>102</v>
      </c>
      <c r="C55" s="8" t="s">
        <v>16</v>
      </c>
      <c r="D55" s="17">
        <v>85420.2</v>
      </c>
    </row>
    <row r="56" spans="1:4" s="9" customFormat="1" ht="15" customHeight="1">
      <c r="A56" s="6" t="s">
        <v>103</v>
      </c>
      <c r="B56" s="16" t="s">
        <v>104</v>
      </c>
      <c r="C56" s="8" t="s">
        <v>16</v>
      </c>
      <c r="D56" s="17">
        <v>0</v>
      </c>
    </row>
    <row r="57" spans="1:4" s="9" customFormat="1" ht="28.5">
      <c r="A57" s="6" t="s">
        <v>82</v>
      </c>
      <c r="B57" s="16" t="s">
        <v>83</v>
      </c>
      <c r="C57" s="8" t="s">
        <v>7</v>
      </c>
      <c r="D57" s="71" t="s">
        <v>105</v>
      </c>
    </row>
    <row r="58" spans="1:4" s="9" customFormat="1" ht="15" customHeight="1">
      <c r="A58" s="6" t="s">
        <v>106</v>
      </c>
      <c r="B58" s="16" t="s">
        <v>86</v>
      </c>
      <c r="C58" s="8" t="s">
        <v>7</v>
      </c>
      <c r="D58" s="17" t="s">
        <v>87</v>
      </c>
    </row>
    <row r="59" spans="1:4" s="9" customFormat="1" ht="15" customHeight="1">
      <c r="A59" s="6" t="s">
        <v>107</v>
      </c>
      <c r="B59" s="16" t="s">
        <v>89</v>
      </c>
      <c r="C59" s="8" t="s">
        <v>90</v>
      </c>
      <c r="D59" s="17">
        <v>0</v>
      </c>
    </row>
    <row r="60" spans="1:4" s="9" customFormat="1" ht="15" customHeight="1">
      <c r="A60" s="6" t="s">
        <v>108</v>
      </c>
      <c r="B60" s="16" t="s">
        <v>92</v>
      </c>
      <c r="C60" s="8" t="s">
        <v>16</v>
      </c>
      <c r="D60" s="17">
        <v>0</v>
      </c>
    </row>
    <row r="61" spans="1:4" s="9" customFormat="1" ht="15" customHeight="1">
      <c r="A61" s="6" t="s">
        <v>109</v>
      </c>
      <c r="B61" s="15" t="s">
        <v>94</v>
      </c>
      <c r="C61" s="8" t="s">
        <v>16</v>
      </c>
      <c r="D61" s="17">
        <v>0</v>
      </c>
    </row>
    <row r="62" spans="1:4" s="9" customFormat="1" ht="15" customHeight="1">
      <c r="A62" s="6" t="s">
        <v>110</v>
      </c>
      <c r="B62" s="15" t="s">
        <v>96</v>
      </c>
      <c r="C62" s="8" t="s">
        <v>16</v>
      </c>
      <c r="D62" s="17">
        <v>0</v>
      </c>
    </row>
    <row r="63" spans="1:4" s="9" customFormat="1" ht="15" customHeight="1">
      <c r="A63" s="6" t="s">
        <v>111</v>
      </c>
      <c r="B63" s="15" t="s">
        <v>98</v>
      </c>
      <c r="C63" s="8" t="s">
        <v>16</v>
      </c>
      <c r="D63" s="17">
        <v>0</v>
      </c>
    </row>
    <row r="64" spans="1:4" s="9" customFormat="1" ht="15" customHeight="1">
      <c r="A64" s="6" t="s">
        <v>112</v>
      </c>
      <c r="B64" s="15" t="s">
        <v>100</v>
      </c>
      <c r="C64" s="8" t="s">
        <v>16</v>
      </c>
      <c r="D64" s="17">
        <v>0</v>
      </c>
    </row>
    <row r="65" spans="1:4" s="9" customFormat="1" ht="15" customHeight="1">
      <c r="A65" s="6" t="s">
        <v>113</v>
      </c>
      <c r="B65" s="15" t="s">
        <v>102</v>
      </c>
      <c r="C65" s="8" t="s">
        <v>16</v>
      </c>
      <c r="D65" s="17">
        <v>0</v>
      </c>
    </row>
    <row r="66" spans="1:4" s="9" customFormat="1" ht="15" customHeight="1">
      <c r="A66" s="6" t="s">
        <v>114</v>
      </c>
      <c r="B66" s="16" t="s">
        <v>104</v>
      </c>
      <c r="C66" s="8" t="s">
        <v>16</v>
      </c>
      <c r="D66" s="17">
        <v>0</v>
      </c>
    </row>
    <row r="67" spans="1:4" s="9" customFormat="1" ht="15" customHeight="1">
      <c r="A67" s="6" t="s">
        <v>115</v>
      </c>
      <c r="B67" s="16" t="s">
        <v>83</v>
      </c>
      <c r="C67" s="8" t="s">
        <v>7</v>
      </c>
      <c r="D67" s="71" t="s">
        <v>116</v>
      </c>
    </row>
    <row r="68" spans="1:4" s="9" customFormat="1" ht="15" customHeight="1">
      <c r="A68" s="6" t="s">
        <v>117</v>
      </c>
      <c r="B68" s="16" t="s">
        <v>86</v>
      </c>
      <c r="C68" s="8" t="s">
        <v>7</v>
      </c>
      <c r="D68" s="17" t="s">
        <v>87</v>
      </c>
    </row>
    <row r="69" spans="1:4" s="9" customFormat="1" ht="15" customHeight="1">
      <c r="A69" s="6" t="s">
        <v>118</v>
      </c>
      <c r="B69" s="16" t="s">
        <v>89</v>
      </c>
      <c r="C69" s="8" t="s">
        <v>90</v>
      </c>
      <c r="D69" s="23">
        <f>D49</f>
        <v>5689.045600285002</v>
      </c>
    </row>
    <row r="70" spans="1:4" s="9" customFormat="1" ht="15" customHeight="1">
      <c r="A70" s="6" t="s">
        <v>119</v>
      </c>
      <c r="B70" s="16" t="s">
        <v>92</v>
      </c>
      <c r="C70" s="8" t="s">
        <v>16</v>
      </c>
      <c r="D70" s="17">
        <f>86642.26+357.25</f>
        <v>86999.51</v>
      </c>
    </row>
    <row r="71" spans="1:4" s="9" customFormat="1" ht="15" customHeight="1">
      <c r="A71" s="6" t="s">
        <v>120</v>
      </c>
      <c r="B71" s="15" t="s">
        <v>94</v>
      </c>
      <c r="C71" s="8" t="s">
        <v>16</v>
      </c>
      <c r="D71" s="17">
        <f>324.34+83072.25</f>
        <v>83396.59</v>
      </c>
    </row>
    <row r="72" spans="1:4" s="9" customFormat="1" ht="15" customHeight="1">
      <c r="A72" s="6" t="s">
        <v>121</v>
      </c>
      <c r="B72" s="15" t="s">
        <v>96</v>
      </c>
      <c r="C72" s="8" t="s">
        <v>16</v>
      </c>
      <c r="D72" s="17">
        <f>3570.01+357.25-324.34</f>
        <v>3602.92</v>
      </c>
    </row>
    <row r="73" spans="1:4" s="9" customFormat="1" ht="15" customHeight="1">
      <c r="A73" s="6" t="s">
        <v>122</v>
      </c>
      <c r="B73" s="15" t="s">
        <v>98</v>
      </c>
      <c r="C73" s="8" t="s">
        <v>16</v>
      </c>
      <c r="D73" s="17">
        <v>86642.34</v>
      </c>
    </row>
    <row r="74" spans="1:4" s="9" customFormat="1" ht="15" customHeight="1">
      <c r="A74" s="6" t="s">
        <v>123</v>
      </c>
      <c r="B74" s="15" t="s">
        <v>100</v>
      </c>
      <c r="C74" s="8" t="s">
        <v>16</v>
      </c>
      <c r="D74" s="17">
        <v>57490.9</v>
      </c>
    </row>
    <row r="75" spans="1:4" s="9" customFormat="1" ht="15" customHeight="1">
      <c r="A75" s="6" t="s">
        <v>124</v>
      </c>
      <c r="B75" s="15" t="s">
        <v>102</v>
      </c>
      <c r="C75" s="8" t="s">
        <v>16</v>
      </c>
      <c r="D75" s="17">
        <v>41163.99</v>
      </c>
    </row>
    <row r="76" spans="1:4" s="9" customFormat="1" ht="15" customHeight="1">
      <c r="A76" s="6" t="s">
        <v>125</v>
      </c>
      <c r="B76" s="16" t="s">
        <v>104</v>
      </c>
      <c r="C76" s="8" t="s">
        <v>16</v>
      </c>
      <c r="D76" s="17">
        <v>0</v>
      </c>
    </row>
    <row r="77" spans="1:4" s="9" customFormat="1" ht="15" customHeight="1">
      <c r="A77" s="6" t="s">
        <v>126</v>
      </c>
      <c r="B77" s="16" t="s">
        <v>83</v>
      </c>
      <c r="C77" s="8" t="s">
        <v>7</v>
      </c>
      <c r="D77" s="71" t="s">
        <v>127</v>
      </c>
    </row>
    <row r="78" spans="1:4" s="9" customFormat="1" ht="15" customHeight="1">
      <c r="A78" s="6" t="s">
        <v>128</v>
      </c>
      <c r="B78" s="16" t="s">
        <v>86</v>
      </c>
      <c r="C78" s="8" t="s">
        <v>7</v>
      </c>
      <c r="D78" s="24" t="s">
        <v>129</v>
      </c>
    </row>
    <row r="79" spans="1:4" s="9" customFormat="1" ht="15" customHeight="1">
      <c r="A79" s="6" t="s">
        <v>130</v>
      </c>
      <c r="B79" s="16" t="s">
        <v>89</v>
      </c>
      <c r="C79" s="8" t="s">
        <v>90</v>
      </c>
      <c r="D79" s="17">
        <v>213.44</v>
      </c>
    </row>
    <row r="80" spans="1:4" s="9" customFormat="1" ht="15" customHeight="1">
      <c r="A80" s="6" t="s">
        <v>131</v>
      </c>
      <c r="B80" s="16" t="s">
        <v>92</v>
      </c>
      <c r="C80" s="8" t="s">
        <v>16</v>
      </c>
      <c r="D80" s="24">
        <f>427880.9+8863.37</f>
        <v>436744.27</v>
      </c>
    </row>
    <row r="81" spans="1:4" s="9" customFormat="1" ht="15" customHeight="1">
      <c r="A81" s="6" t="s">
        <v>132</v>
      </c>
      <c r="B81" s="15" t="s">
        <v>94</v>
      </c>
      <c r="C81" s="8" t="s">
        <v>16</v>
      </c>
      <c r="D81" s="24">
        <f>5999.67+410250.46</f>
        <v>416250.13</v>
      </c>
    </row>
    <row r="82" spans="1:4" s="9" customFormat="1" ht="15" customHeight="1">
      <c r="A82" s="6" t="s">
        <v>133</v>
      </c>
      <c r="B82" s="15" t="s">
        <v>96</v>
      </c>
      <c r="C82" s="8" t="s">
        <v>16</v>
      </c>
      <c r="D82" s="24">
        <f>17630.44+8863.37-5999.67</f>
        <v>20494.14</v>
      </c>
    </row>
    <row r="83" spans="1:4" s="9" customFormat="1" ht="15" customHeight="1">
      <c r="A83" s="6" t="s">
        <v>134</v>
      </c>
      <c r="B83" s="15" t="s">
        <v>98</v>
      </c>
      <c r="C83" s="8" t="s">
        <v>16</v>
      </c>
      <c r="D83" s="24">
        <v>423861.44</v>
      </c>
    </row>
    <row r="84" spans="1:4" s="9" customFormat="1" ht="15" customHeight="1">
      <c r="A84" s="6" t="s">
        <v>135</v>
      </c>
      <c r="B84" s="15" t="s">
        <v>100</v>
      </c>
      <c r="C84" s="8" t="s">
        <v>16</v>
      </c>
      <c r="D84" s="24">
        <v>320552.61</v>
      </c>
    </row>
    <row r="85" spans="1:4" s="9" customFormat="1" ht="15" customHeight="1">
      <c r="A85" s="6" t="s">
        <v>136</v>
      </c>
      <c r="B85" s="15" t="s">
        <v>102</v>
      </c>
      <c r="C85" s="8" t="s">
        <v>16</v>
      </c>
      <c r="D85" s="24">
        <v>162078.25</v>
      </c>
    </row>
    <row r="86" spans="1:4" s="9" customFormat="1" ht="15" customHeight="1">
      <c r="A86" s="6" t="s">
        <v>137</v>
      </c>
      <c r="B86" s="16" t="s">
        <v>104</v>
      </c>
      <c r="C86" s="8" t="s">
        <v>16</v>
      </c>
      <c r="D86" s="24">
        <v>0</v>
      </c>
    </row>
    <row r="87" spans="1:4" s="9" customFormat="1" ht="15.75" customHeight="1">
      <c r="A87" s="101" t="s">
        <v>138</v>
      </c>
      <c r="B87" s="101"/>
      <c r="C87" s="101"/>
      <c r="D87" s="101"/>
    </row>
    <row r="88" spans="1:4" s="9" customFormat="1" ht="15.75" customHeight="1">
      <c r="A88" s="6" t="s">
        <v>139</v>
      </c>
      <c r="B88" s="16" t="s">
        <v>64</v>
      </c>
      <c r="C88" s="8" t="s">
        <v>65</v>
      </c>
      <c r="D88" s="17">
        <v>0</v>
      </c>
    </row>
    <row r="89" spans="1:4" s="9" customFormat="1" ht="15.75" customHeight="1">
      <c r="A89" s="6" t="s">
        <v>140</v>
      </c>
      <c r="B89" s="16" t="s">
        <v>67</v>
      </c>
      <c r="C89" s="8" t="s">
        <v>65</v>
      </c>
      <c r="D89" s="17">
        <v>0</v>
      </c>
    </row>
    <row r="90" spans="1:4" s="9" customFormat="1" ht="15.75" customHeight="1">
      <c r="A90" s="6" t="s">
        <v>141</v>
      </c>
      <c r="B90" s="16" t="s">
        <v>69</v>
      </c>
      <c r="C90" s="8" t="s">
        <v>65</v>
      </c>
      <c r="D90" s="17">
        <v>0</v>
      </c>
    </row>
    <row r="91" spans="1:4" s="9" customFormat="1" ht="15.75" customHeight="1">
      <c r="A91" s="6" t="s">
        <v>142</v>
      </c>
      <c r="B91" s="16" t="s">
        <v>71</v>
      </c>
      <c r="C91" s="8" t="s">
        <v>16</v>
      </c>
      <c r="D91" s="17">
        <v>0</v>
      </c>
    </row>
    <row r="92" spans="1:4" s="9" customFormat="1" ht="15.75" customHeight="1">
      <c r="A92" s="101" t="s">
        <v>143</v>
      </c>
      <c r="B92" s="101"/>
      <c r="C92" s="101"/>
      <c r="D92" s="101"/>
    </row>
    <row r="93" spans="1:4" s="9" customFormat="1" ht="15.75" customHeight="1">
      <c r="A93" s="6" t="s">
        <v>144</v>
      </c>
      <c r="B93" s="16" t="s">
        <v>145</v>
      </c>
      <c r="C93" s="8" t="s">
        <v>65</v>
      </c>
      <c r="D93" s="88">
        <v>8</v>
      </c>
    </row>
    <row r="94" spans="1:4" s="9" customFormat="1" ht="15.75" customHeight="1">
      <c r="A94" s="6" t="s">
        <v>146</v>
      </c>
      <c r="B94" s="16" t="s">
        <v>147</v>
      </c>
      <c r="C94" s="8" t="s">
        <v>65</v>
      </c>
      <c r="D94" s="88">
        <v>0</v>
      </c>
    </row>
    <row r="95" spans="1:4" s="9" customFormat="1" ht="29.25" customHeight="1">
      <c r="A95" s="6" t="s">
        <v>148</v>
      </c>
      <c r="B95" s="16" t="s">
        <v>149</v>
      </c>
      <c r="C95" s="8" t="s">
        <v>16</v>
      </c>
      <c r="D95" s="17">
        <v>39492</v>
      </c>
    </row>
    <row r="99" spans="1:2" ht="15" hidden="1">
      <c r="A99" s="25" t="s">
        <v>150</v>
      </c>
      <c r="B99" s="26" t="s">
        <v>151</v>
      </c>
    </row>
    <row r="100" ht="15" hidden="1"/>
    <row r="101" spans="1:4" ht="25.5" hidden="1">
      <c r="A101" s="27" t="s">
        <v>1</v>
      </c>
      <c r="B101" s="28" t="s">
        <v>152</v>
      </c>
      <c r="C101" s="27"/>
      <c r="D101" s="72" t="s">
        <v>153</v>
      </c>
    </row>
    <row r="102" spans="1:4" ht="15.75" hidden="1">
      <c r="A102" s="27"/>
      <c r="B102" s="29" t="s">
        <v>154</v>
      </c>
      <c r="C102" s="30"/>
      <c r="D102" s="31">
        <f>D103+D104+D105+D106+D107+D113+D142+D143+D144+D145+D146+D148</f>
        <v>1058387.5744</v>
      </c>
    </row>
    <row r="103" spans="1:4" ht="15" hidden="1">
      <c r="A103" s="27">
        <v>1</v>
      </c>
      <c r="B103" s="32" t="s">
        <v>155</v>
      </c>
      <c r="C103" s="33"/>
      <c r="D103" s="34">
        <v>131476</v>
      </c>
    </row>
    <row r="104" spans="1:4" ht="15" hidden="1">
      <c r="A104" s="27">
        <f>SUM(A103)+1</f>
        <v>2</v>
      </c>
      <c r="B104" s="32" t="s">
        <v>156</v>
      </c>
      <c r="C104" s="33"/>
      <c r="D104" s="34">
        <v>70090</v>
      </c>
    </row>
    <row r="105" spans="1:4" ht="15" hidden="1">
      <c r="A105" s="35">
        <f>SUM(A104)+1</f>
        <v>3</v>
      </c>
      <c r="B105" s="36" t="s">
        <v>157</v>
      </c>
      <c r="C105" s="37"/>
      <c r="D105" s="38">
        <v>27689.74</v>
      </c>
    </row>
    <row r="106" spans="1:4" ht="15" hidden="1">
      <c r="A106" s="27">
        <f>SUM(A105)+1</f>
        <v>4</v>
      </c>
      <c r="B106" s="32" t="s">
        <v>158</v>
      </c>
      <c r="C106" s="37"/>
      <c r="D106" s="34">
        <v>0</v>
      </c>
    </row>
    <row r="107" spans="1:4" ht="15" hidden="1">
      <c r="A107" s="27">
        <f>SUM(A106)+1</f>
        <v>5</v>
      </c>
      <c r="B107" s="32" t="s">
        <v>159</v>
      </c>
      <c r="C107" s="37"/>
      <c r="D107" s="34">
        <f>SUM(D109:D112)</f>
        <v>0</v>
      </c>
    </row>
    <row r="108" spans="1:4" ht="15" hidden="1">
      <c r="A108" s="27" t="s">
        <v>7</v>
      </c>
      <c r="B108" s="40" t="s">
        <v>160</v>
      </c>
      <c r="C108" s="37"/>
      <c r="D108" s="34"/>
    </row>
    <row r="109" spans="1:4" ht="15" hidden="1">
      <c r="A109" s="27"/>
      <c r="B109" s="41" t="s">
        <v>161</v>
      </c>
      <c r="C109" s="37"/>
      <c r="D109" s="34"/>
    </row>
    <row r="110" spans="1:4" ht="15" hidden="1">
      <c r="A110" s="27"/>
      <c r="B110" s="41" t="s">
        <v>162</v>
      </c>
      <c r="C110" s="37"/>
      <c r="D110" s="34"/>
    </row>
    <row r="111" spans="1:4" ht="15" hidden="1">
      <c r="A111" s="27" t="s">
        <v>7</v>
      </c>
      <c r="B111" s="42" t="s">
        <v>163</v>
      </c>
      <c r="C111" s="37"/>
      <c r="D111" s="34"/>
    </row>
    <row r="112" spans="1:4" ht="15" hidden="1">
      <c r="A112" s="43" t="s">
        <v>7</v>
      </c>
      <c r="B112" s="44" t="s">
        <v>185</v>
      </c>
      <c r="C112" s="45"/>
      <c r="D112" s="73"/>
    </row>
    <row r="113" spans="1:4" ht="60" hidden="1">
      <c r="A113" s="27">
        <f>SUM(A107)+1</f>
        <v>6</v>
      </c>
      <c r="B113" s="47" t="s">
        <v>164</v>
      </c>
      <c r="C113" s="48"/>
      <c r="D113" s="34">
        <f>D114+D115+D116+D117+D124+D125+D136</f>
        <v>330799.81999999995</v>
      </c>
    </row>
    <row r="114" spans="1:4" ht="45" hidden="1">
      <c r="A114" s="49" t="s">
        <v>7</v>
      </c>
      <c r="B114" s="50" t="s">
        <v>165</v>
      </c>
      <c r="C114" s="51"/>
      <c r="D114" s="52">
        <v>110184</v>
      </c>
    </row>
    <row r="115" spans="1:4" ht="15" hidden="1">
      <c r="A115" s="53" t="s">
        <v>7</v>
      </c>
      <c r="B115" s="54" t="s">
        <v>166</v>
      </c>
      <c r="C115" s="37"/>
      <c r="D115" s="34">
        <v>34047</v>
      </c>
    </row>
    <row r="116" spans="1:4" ht="15" hidden="1">
      <c r="A116" s="53" t="s">
        <v>7</v>
      </c>
      <c r="B116" s="54" t="s">
        <v>167</v>
      </c>
      <c r="C116" s="37"/>
      <c r="D116" s="34">
        <v>8842.08</v>
      </c>
    </row>
    <row r="117" spans="1:4" ht="15" hidden="1">
      <c r="A117" s="53" t="s">
        <v>7</v>
      </c>
      <c r="B117" s="54" t="s">
        <v>168</v>
      </c>
      <c r="C117" s="37"/>
      <c r="D117" s="34">
        <f>SUM(D118:D123)</f>
        <v>6220</v>
      </c>
    </row>
    <row r="118" spans="1:4" ht="15" hidden="1">
      <c r="A118" s="53"/>
      <c r="B118" s="54" t="s">
        <v>207</v>
      </c>
      <c r="C118" s="37"/>
      <c r="D118" s="34">
        <v>1174</v>
      </c>
    </row>
    <row r="119" spans="1:4" ht="15" hidden="1">
      <c r="A119" s="53"/>
      <c r="B119" s="54" t="s">
        <v>208</v>
      </c>
      <c r="C119" s="37"/>
      <c r="D119" s="34">
        <v>5046</v>
      </c>
    </row>
    <row r="120" spans="1:4" ht="15" hidden="1">
      <c r="A120" s="53"/>
      <c r="B120" s="54"/>
      <c r="C120" s="37"/>
      <c r="D120" s="34"/>
    </row>
    <row r="121" spans="1:4" ht="15" hidden="1">
      <c r="A121" s="53"/>
      <c r="B121" s="54"/>
      <c r="C121" s="37"/>
      <c r="D121" s="34"/>
    </row>
    <row r="122" spans="1:4" ht="15" hidden="1">
      <c r="A122" s="53"/>
      <c r="B122" s="54"/>
      <c r="C122" s="37"/>
      <c r="D122" s="34"/>
    </row>
    <row r="123" spans="1:4" ht="15" hidden="1">
      <c r="A123" s="53"/>
      <c r="B123" s="54"/>
      <c r="C123" s="37"/>
      <c r="D123" s="34"/>
    </row>
    <row r="124" spans="1:4" ht="15" hidden="1">
      <c r="A124" s="53" t="s">
        <v>7</v>
      </c>
      <c r="B124" s="54" t="s">
        <v>169</v>
      </c>
      <c r="C124" s="37"/>
      <c r="D124" s="34">
        <v>22298</v>
      </c>
    </row>
    <row r="125" spans="1:4" ht="15" hidden="1">
      <c r="A125" s="53" t="s">
        <v>7</v>
      </c>
      <c r="B125" s="54" t="s">
        <v>170</v>
      </c>
      <c r="C125" s="37"/>
      <c r="D125" s="34">
        <f>SUM(D126:D135)</f>
        <v>136226.74</v>
      </c>
    </row>
    <row r="126" spans="1:4" ht="15" hidden="1">
      <c r="A126" s="53"/>
      <c r="B126" s="54" t="s">
        <v>219</v>
      </c>
      <c r="C126" s="37"/>
      <c r="D126" s="34">
        <v>101017.31</v>
      </c>
    </row>
    <row r="127" spans="1:4" ht="15" hidden="1">
      <c r="A127" s="53"/>
      <c r="B127" s="54" t="s">
        <v>220</v>
      </c>
      <c r="C127" s="37"/>
      <c r="D127" s="34">
        <v>35209.43</v>
      </c>
    </row>
    <row r="128" spans="1:4" ht="15" hidden="1">
      <c r="A128" s="53"/>
      <c r="B128" s="54"/>
      <c r="C128" s="37"/>
      <c r="D128" s="34"/>
    </row>
    <row r="129" spans="1:4" ht="15" hidden="1">
      <c r="A129" s="53"/>
      <c r="B129" s="54"/>
      <c r="C129" s="37"/>
      <c r="D129" s="34"/>
    </row>
    <row r="130" spans="1:4" ht="15" hidden="1">
      <c r="A130" s="53"/>
      <c r="B130" s="54"/>
      <c r="C130" s="37"/>
      <c r="D130" s="34"/>
    </row>
    <row r="131" spans="1:4" ht="15" hidden="1">
      <c r="A131" s="53"/>
      <c r="B131" s="54"/>
      <c r="C131" s="37"/>
      <c r="D131" s="34"/>
    </row>
    <row r="132" spans="1:4" ht="15" hidden="1">
      <c r="A132" s="53"/>
      <c r="B132" s="54"/>
      <c r="C132" s="37"/>
      <c r="D132" s="34"/>
    </row>
    <row r="133" spans="1:4" ht="15" hidden="1">
      <c r="A133" s="53"/>
      <c r="B133" s="54"/>
      <c r="C133" s="37"/>
      <c r="D133" s="34"/>
    </row>
    <row r="134" spans="1:4" ht="15" hidden="1">
      <c r="A134" s="53"/>
      <c r="B134" s="54"/>
      <c r="C134" s="37"/>
      <c r="D134" s="34"/>
    </row>
    <row r="135" spans="1:4" ht="15" hidden="1">
      <c r="A135" s="53"/>
      <c r="B135" s="54"/>
      <c r="C135" s="37"/>
      <c r="D135" s="34"/>
    </row>
    <row r="136" spans="1:4" ht="15" hidden="1">
      <c r="A136" s="53" t="s">
        <v>7</v>
      </c>
      <c r="B136" s="55" t="s">
        <v>171</v>
      </c>
      <c r="C136" s="37"/>
      <c r="D136" s="34">
        <f>SUM(D137:D141)</f>
        <v>12982</v>
      </c>
    </row>
    <row r="137" spans="1:4" ht="15" hidden="1">
      <c r="A137" s="53"/>
      <c r="B137" s="56" t="s">
        <v>172</v>
      </c>
      <c r="C137" s="37"/>
      <c r="D137" s="34">
        <v>1608</v>
      </c>
    </row>
    <row r="138" spans="1:4" ht="15" hidden="1">
      <c r="A138" s="53"/>
      <c r="B138" s="56" t="s">
        <v>173</v>
      </c>
      <c r="C138" s="37"/>
      <c r="D138" s="34">
        <v>4847</v>
      </c>
    </row>
    <row r="139" spans="1:4" ht="15" hidden="1">
      <c r="A139" s="53"/>
      <c r="B139" s="56" t="s">
        <v>174</v>
      </c>
      <c r="C139" s="37"/>
      <c r="D139" s="34">
        <v>2798</v>
      </c>
    </row>
    <row r="140" spans="1:4" ht="15" hidden="1">
      <c r="A140" s="53"/>
      <c r="B140" s="56" t="s">
        <v>175</v>
      </c>
      <c r="C140" s="37"/>
      <c r="D140" s="34">
        <v>1038</v>
      </c>
    </row>
    <row r="141" spans="1:4" ht="15" hidden="1">
      <c r="A141" s="53"/>
      <c r="B141" s="56" t="s">
        <v>176</v>
      </c>
      <c r="C141" s="37"/>
      <c r="D141" s="34">
        <v>2691</v>
      </c>
    </row>
    <row r="142" spans="1:4" ht="15" hidden="1">
      <c r="A142" s="27">
        <v>7</v>
      </c>
      <c r="B142" s="32" t="s">
        <v>177</v>
      </c>
      <c r="C142" s="57"/>
      <c r="D142" s="34">
        <v>46709.54</v>
      </c>
    </row>
    <row r="143" spans="1:4" ht="15" hidden="1">
      <c r="A143" s="27">
        <f>SUM(A142)+1</f>
        <v>8</v>
      </c>
      <c r="B143" s="32" t="s">
        <v>178</v>
      </c>
      <c r="C143" s="57"/>
      <c r="D143" s="34">
        <v>35333.77</v>
      </c>
    </row>
    <row r="144" spans="1:4" ht="15" hidden="1">
      <c r="A144" s="27">
        <f>SUM(A143)+1</f>
        <v>9</v>
      </c>
      <c r="B144" s="32" t="s">
        <v>179</v>
      </c>
      <c r="C144" s="37"/>
      <c r="D144" s="34">
        <v>140978</v>
      </c>
    </row>
    <row r="145" spans="1:4" ht="15" hidden="1">
      <c r="A145" s="35">
        <f>SUM(A144)+1</f>
        <v>10</v>
      </c>
      <c r="B145" s="36" t="s">
        <v>180</v>
      </c>
      <c r="C145" s="37"/>
      <c r="D145" s="34">
        <v>1430.99</v>
      </c>
    </row>
    <row r="146" spans="1:4" ht="15" hidden="1">
      <c r="A146" s="27">
        <v>11</v>
      </c>
      <c r="B146" s="32" t="s">
        <v>181</v>
      </c>
      <c r="C146" s="33"/>
      <c r="D146" s="34">
        <f>D147+9016+72442+96839</f>
        <v>267606.7144</v>
      </c>
    </row>
    <row r="147" spans="1:4" ht="30" hidden="1">
      <c r="A147" s="28" t="s">
        <v>182</v>
      </c>
      <c r="B147" s="59" t="s">
        <v>183</v>
      </c>
      <c r="C147" s="60"/>
      <c r="D147" s="64">
        <f>78*78.5*12+(937561.41+645810.03)*0.01</f>
        <v>89309.7144</v>
      </c>
    </row>
    <row r="148" spans="1:4" ht="30" hidden="1">
      <c r="A148" s="61">
        <v>12</v>
      </c>
      <c r="B148" s="62" t="s">
        <v>184</v>
      </c>
      <c r="C148" s="33"/>
      <c r="D148" s="34">
        <v>6273</v>
      </c>
    </row>
  </sheetData>
  <sheetProtection/>
  <mergeCells count="8">
    <mergeCell ref="A87:D87"/>
    <mergeCell ref="A92:D92"/>
    <mergeCell ref="A1:D1"/>
    <mergeCell ref="A7:D7"/>
    <mergeCell ref="A25:D25"/>
    <mergeCell ref="A34:D34"/>
    <mergeCell ref="A39:D39"/>
    <mergeCell ref="A46:D46"/>
  </mergeCells>
  <dataValidations count="1">
    <dataValidation type="list" allowBlank="1" showInputMessage="1" showErrorMessage="1" sqref="D77 D67 D57 D47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1496062992125984" right="0.11811023622047244" top="0.3543307086614173" bottom="0.1181102362204724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2016-03-28T13:33:00Z</dcterms:modified>
  <cp:category/>
  <cp:version/>
  <cp:contentType/>
  <cp:contentStatus/>
</cp:coreProperties>
</file>